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825" yWindow="0" windowWidth="22215" windowHeight="12240"/>
  </bookViews>
  <sheets>
    <sheet name="Санузел 3 этаж (муж) - ЛСР по М" sheetId="1" r:id="rId1"/>
  </sheets>
  <definedNames>
    <definedName name="_xlnm.Print_Titles" localSheetId="0">'Санузел 3 этаж (муж) - ЛСР по М'!$42:$42</definedName>
    <definedName name="_xlnm.Print_Area" localSheetId="0">'Санузел 3 этаж (муж) - ЛСР по М'!$A$1:$P$2317</definedName>
  </definedNames>
  <calcPr calcId="144525"/>
</workbook>
</file>

<file path=xl/calcChain.xml><?xml version="1.0" encoding="utf-8"?>
<calcChain xmlns="http://schemas.openxmlformats.org/spreadsheetml/2006/main">
  <c r="D37" i="1" l="1"/>
  <c r="O36" i="1"/>
  <c r="D36" i="1"/>
  <c r="D34" i="1"/>
  <c r="I1091" i="1" l="1"/>
  <c r="I1028" i="1"/>
  <c r="I607" i="1"/>
  <c r="I544" i="1"/>
  <c r="I116" i="1"/>
  <c r="I53" i="1"/>
  <c r="AK1789" i="1"/>
  <c r="P1789" i="1" s="1"/>
  <c r="AK1803" i="1"/>
  <c r="P1803" i="1" s="1"/>
  <c r="AJ1807" i="1"/>
  <c r="N2047" i="1"/>
  <c r="L2047" i="1" s="1"/>
  <c r="N2046" i="1"/>
  <c r="N1974" i="1"/>
  <c r="K1927" i="1"/>
  <c r="I1927" i="1"/>
  <c r="I1863" i="1"/>
  <c r="I1861" i="1"/>
  <c r="K1839" i="1"/>
  <c r="P1804" i="1"/>
  <c r="P1802" i="1"/>
  <c r="P1801" i="1"/>
  <c r="P1800" i="1"/>
  <c r="P1796" i="1"/>
  <c r="P1794" i="1"/>
  <c r="P1793" i="1"/>
  <c r="P1790" i="1"/>
  <c r="P1788" i="1"/>
  <c r="P1787" i="1"/>
  <c r="P1786" i="1"/>
  <c r="P1785" i="1"/>
  <c r="P1781" i="1"/>
  <c r="P1780" i="1"/>
  <c r="P1779" i="1"/>
  <c r="P1778" i="1"/>
  <c r="P1775" i="1"/>
  <c r="P1774" i="1"/>
  <c r="P1773" i="1"/>
  <c r="P1772" i="1"/>
  <c r="P1771" i="1"/>
  <c r="P1767" i="1"/>
  <c r="P1766" i="1"/>
  <c r="P1765" i="1"/>
  <c r="P1764" i="1"/>
  <c r="P1759" i="1"/>
  <c r="P1758" i="1"/>
  <c r="P1757" i="1"/>
  <c r="P1756" i="1"/>
  <c r="P1755" i="1"/>
  <c r="P1751" i="1"/>
  <c r="P1749" i="1"/>
  <c r="P1748" i="1"/>
  <c r="P1744" i="1"/>
  <c r="P1743" i="1"/>
  <c r="P1742" i="1"/>
  <c r="P1741" i="1"/>
  <c r="P1740" i="1"/>
  <c r="P1736" i="1"/>
  <c r="P1735" i="1"/>
  <c r="P1734" i="1"/>
  <c r="P1733" i="1"/>
  <c r="P1729" i="1"/>
  <c r="P1728" i="1"/>
  <c r="P1727" i="1"/>
  <c r="P1726" i="1"/>
  <c r="P1722" i="1"/>
  <c r="P1721" i="1"/>
  <c r="P1720" i="1"/>
  <c r="P1719" i="1"/>
  <c r="P1716" i="1"/>
  <c r="K1716" i="1"/>
  <c r="P1715" i="1"/>
  <c r="P1714" i="1"/>
  <c r="P1713" i="1"/>
  <c r="P1712" i="1"/>
  <c r="P1708" i="1"/>
  <c r="P1707" i="1"/>
  <c r="P1706" i="1"/>
  <c r="P1703" i="1"/>
  <c r="P1702" i="1"/>
  <c r="P1701" i="1"/>
  <c r="P1700" i="1"/>
  <c r="P1696" i="1"/>
  <c r="P1695" i="1"/>
  <c r="P1694" i="1"/>
  <c r="P1693" i="1"/>
  <c r="P1689" i="1"/>
  <c r="P1688" i="1"/>
  <c r="P1687" i="1"/>
  <c r="K1687" i="1"/>
  <c r="P1686" i="1"/>
  <c r="P1685" i="1"/>
  <c r="P1684" i="1"/>
  <c r="P1683" i="1"/>
  <c r="P1679" i="1"/>
  <c r="P1678" i="1"/>
  <c r="P1677" i="1"/>
  <c r="P1676" i="1"/>
  <c r="K1674" i="1"/>
  <c r="P1672" i="1"/>
  <c r="P1670" i="1"/>
  <c r="P1669" i="1"/>
  <c r="P1668" i="1"/>
  <c r="P1667" i="1"/>
  <c r="P1666" i="1"/>
  <c r="P1662" i="1"/>
  <c r="P1661" i="1"/>
  <c r="P1660" i="1"/>
  <c r="P1659" i="1"/>
  <c r="K1657" i="1"/>
  <c r="P1655" i="1"/>
  <c r="P1653" i="1"/>
  <c r="K1653" i="1"/>
  <c r="P1652" i="1"/>
  <c r="P1651" i="1"/>
  <c r="P1650" i="1"/>
  <c r="P1649" i="1"/>
  <c r="P1645" i="1"/>
  <c r="P1644" i="1"/>
  <c r="P1643" i="1"/>
  <c r="P1642" i="1"/>
  <c r="P1639" i="1"/>
  <c r="P1638" i="1"/>
  <c r="P1637" i="1"/>
  <c r="P1636" i="1"/>
  <c r="P1632" i="1"/>
  <c r="P1631" i="1"/>
  <c r="P1630" i="1"/>
  <c r="P1629" i="1"/>
  <c r="P1625" i="1"/>
  <c r="P1624" i="1"/>
  <c r="P1623" i="1"/>
  <c r="P1622" i="1"/>
  <c r="P1621" i="1"/>
  <c r="P1616" i="1"/>
  <c r="P1615" i="1"/>
  <c r="P1614" i="1"/>
  <c r="K1612" i="1"/>
  <c r="K1627" i="1" s="1"/>
  <c r="K1640" i="1" s="1"/>
  <c r="P1609" i="1"/>
  <c r="P1608" i="1"/>
  <c r="P1607" i="1"/>
  <c r="P1606" i="1"/>
  <c r="P1605" i="1"/>
  <c r="P1604" i="1"/>
  <c r="P1600" i="1"/>
  <c r="P1599" i="1"/>
  <c r="P1598" i="1"/>
  <c r="P1597" i="1"/>
  <c r="P1593" i="1"/>
  <c r="P1592" i="1"/>
  <c r="P1591" i="1"/>
  <c r="P1590" i="1"/>
  <c r="P1589" i="1"/>
  <c r="P1588" i="1"/>
  <c r="P1583" i="1"/>
  <c r="P1582" i="1"/>
  <c r="P1581" i="1"/>
  <c r="K1579" i="1"/>
  <c r="P1577" i="1"/>
  <c r="P1576" i="1"/>
  <c r="P1575" i="1"/>
  <c r="P1574" i="1"/>
  <c r="P1571" i="1"/>
  <c r="P1568" i="1"/>
  <c r="P1567" i="1"/>
  <c r="P1566" i="1"/>
  <c r="P1565" i="1"/>
  <c r="P1559" i="1"/>
  <c r="P1556" i="1"/>
  <c r="P1555" i="1"/>
  <c r="P1554" i="1"/>
  <c r="P1553" i="1"/>
  <c r="P1550" i="1"/>
  <c r="P1547" i="1"/>
  <c r="P1546" i="1"/>
  <c r="P1545" i="1"/>
  <c r="P1544" i="1"/>
  <c r="P1540" i="1"/>
  <c r="P1539" i="1"/>
  <c r="P1538" i="1"/>
  <c r="P1535" i="1"/>
  <c r="P1534" i="1"/>
  <c r="P1533" i="1"/>
  <c r="P1532" i="1"/>
  <c r="P1528" i="1"/>
  <c r="P1527" i="1"/>
  <c r="P1526" i="1"/>
  <c r="K1524" i="1"/>
  <c r="P1523" i="1"/>
  <c r="P1522" i="1"/>
  <c r="P1521" i="1"/>
  <c r="P1520" i="1"/>
  <c r="P1516" i="1"/>
  <c r="P1515" i="1"/>
  <c r="P1514" i="1"/>
  <c r="K1512" i="1"/>
  <c r="P1511" i="1"/>
  <c r="P1510" i="1"/>
  <c r="P1509" i="1"/>
  <c r="P1508" i="1"/>
  <c r="N1500" i="1"/>
  <c r="L1500" i="1" s="1"/>
  <c r="N1499" i="1"/>
  <c r="N1425" i="1"/>
  <c r="K1378" i="1"/>
  <c r="I1378" i="1"/>
  <c r="I1314" i="1"/>
  <c r="I1312" i="1"/>
  <c r="K1290" i="1"/>
  <c r="T1258" i="1"/>
  <c r="T1244" i="1" s="1"/>
  <c r="U1256" i="1"/>
  <c r="P1250" i="1"/>
  <c r="U1249" i="1"/>
  <c r="U1248" i="1" s="1"/>
  <c r="U1247" i="1"/>
  <c r="U1246" i="1" s="1"/>
  <c r="U1245" i="1"/>
  <c r="U1244" i="1" s="1"/>
  <c r="P1245" i="1"/>
  <c r="U1243" i="1"/>
  <c r="U1242" i="1" s="1"/>
  <c r="U1241" i="1"/>
  <c r="U1235" i="1"/>
  <c r="U1234" i="1" s="1"/>
  <c r="U1233" i="1"/>
  <c r="U1232" i="1" s="1"/>
  <c r="U1231" i="1"/>
  <c r="U1230" i="1" s="1"/>
  <c r="U1229" i="1"/>
  <c r="U1228" i="1" s="1"/>
  <c r="U1227" i="1"/>
  <c r="U1221" i="1"/>
  <c r="U1215" i="1"/>
  <c r="U1214" i="1" s="1"/>
  <c r="U1213" i="1"/>
  <c r="U1212" i="1" s="1"/>
  <c r="U1211" i="1"/>
  <c r="U1205" i="1"/>
  <c r="U1204" i="1" s="1"/>
  <c r="U1203" i="1"/>
  <c r="U1202" i="1" s="1"/>
  <c r="U1201" i="1"/>
  <c r="U1200" i="1" s="1"/>
  <c r="U1199" i="1"/>
  <c r="U1193" i="1"/>
  <c r="U1192" i="1" s="1"/>
  <c r="U1191" i="1"/>
  <c r="P1191" i="1"/>
  <c r="U1185" i="1"/>
  <c r="U1184" i="1" s="1"/>
  <c r="P1184" i="1"/>
  <c r="P1185" i="1" s="1"/>
  <c r="U1183" i="1"/>
  <c r="U1177" i="1"/>
  <c r="U1176" i="1" s="1"/>
  <c r="U1175" i="1"/>
  <c r="U1168" i="1"/>
  <c r="U1167" i="1" s="1"/>
  <c r="U1166" i="1"/>
  <c r="U1165" i="1" s="1"/>
  <c r="U1164" i="1"/>
  <c r="U1163" i="1" s="1"/>
  <c r="U1162" i="1"/>
  <c r="U1156" i="1"/>
  <c r="U1155" i="1" s="1"/>
  <c r="U1154" i="1"/>
  <c r="U1148" i="1"/>
  <c r="U1147" i="1" s="1"/>
  <c r="U1146" i="1"/>
  <c r="U1140" i="1"/>
  <c r="U1139" i="1" s="1"/>
  <c r="U1138" i="1"/>
  <c r="U1137" i="1" s="1"/>
  <c r="U1136" i="1"/>
  <c r="U1130" i="1"/>
  <c r="U1124" i="1"/>
  <c r="U1117" i="1"/>
  <c r="U1116" i="1" s="1"/>
  <c r="U1115" i="1"/>
  <c r="U1109" i="1"/>
  <c r="U1102" i="1"/>
  <c r="U1101" i="1" s="1"/>
  <c r="U1100" i="1"/>
  <c r="I1093" i="1"/>
  <c r="K1093" i="1" s="1"/>
  <c r="U1094" i="1" s="1"/>
  <c r="U1093" i="1" s="1"/>
  <c r="K1091" i="1"/>
  <c r="U1092" i="1" s="1"/>
  <c r="U1091" i="1" s="1"/>
  <c r="K1085" i="1"/>
  <c r="U1090" i="1" s="1"/>
  <c r="U1084" i="1"/>
  <c r="U1083" i="1" s="1"/>
  <c r="U1082" i="1"/>
  <c r="U1076" i="1"/>
  <c r="U1075" i="1" s="1"/>
  <c r="U1074" i="1"/>
  <c r="U1073" i="1" s="1"/>
  <c r="U1072" i="1"/>
  <c r="U1071" i="1" s="1"/>
  <c r="U1070" i="1"/>
  <c r="U1063" i="1"/>
  <c r="U1064" i="1" s="1"/>
  <c r="U1062" i="1"/>
  <c r="U1055" i="1"/>
  <c r="U1056" i="1" s="1"/>
  <c r="K1049" i="1"/>
  <c r="U1054" i="1" s="1"/>
  <c r="U1046" i="1"/>
  <c r="U1047" i="1" s="1"/>
  <c r="U1045" i="1"/>
  <c r="U1044" i="1"/>
  <c r="U1043" i="1"/>
  <c r="U1037" i="1"/>
  <c r="U1036" i="1" s="1"/>
  <c r="U1035" i="1"/>
  <c r="K1028" i="1"/>
  <c r="U1028" i="1" s="1"/>
  <c r="U1029" i="1" s="1"/>
  <c r="I1026" i="1"/>
  <c r="K1026" i="1" s="1"/>
  <c r="U1027" i="1" s="1"/>
  <c r="U1026" i="1" s="1"/>
  <c r="U1025" i="1"/>
  <c r="U1021" i="1"/>
  <c r="N1016" i="1"/>
  <c r="L1016" i="1" s="1"/>
  <c r="N1015" i="1"/>
  <c r="N941" i="1"/>
  <c r="K894" i="1"/>
  <c r="I894" i="1"/>
  <c r="I830" i="1"/>
  <c r="I828" i="1"/>
  <c r="K806" i="1"/>
  <c r="U772" i="1"/>
  <c r="P766" i="1"/>
  <c r="U765" i="1"/>
  <c r="U764" i="1" s="1"/>
  <c r="T765" i="1"/>
  <c r="T767" i="1" s="1"/>
  <c r="T764" i="1"/>
  <c r="U763" i="1"/>
  <c r="U762" i="1" s="1"/>
  <c r="T763" i="1"/>
  <c r="T762" i="1"/>
  <c r="U761" i="1"/>
  <c r="U760" i="1" s="1"/>
  <c r="T761" i="1"/>
  <c r="P761" i="1"/>
  <c r="T760" i="1"/>
  <c r="U759" i="1"/>
  <c r="U758" i="1" s="1"/>
  <c r="T759" i="1"/>
  <c r="T758" i="1"/>
  <c r="U757" i="1"/>
  <c r="T757" i="1"/>
  <c r="T756" i="1"/>
  <c r="T755" i="1"/>
  <c r="T754" i="1"/>
  <c r="T753" i="1"/>
  <c r="T752" i="1"/>
  <c r="U751" i="1"/>
  <c r="U750" i="1" s="1"/>
  <c r="T751" i="1"/>
  <c r="T750" i="1"/>
  <c r="U749" i="1"/>
  <c r="U748" i="1" s="1"/>
  <c r="T749" i="1"/>
  <c r="T748" i="1"/>
  <c r="U747" i="1"/>
  <c r="U746" i="1" s="1"/>
  <c r="T747" i="1"/>
  <c r="T746" i="1"/>
  <c r="U745" i="1"/>
  <c r="U744" i="1" s="1"/>
  <c r="T745" i="1"/>
  <c r="T744" i="1"/>
  <c r="U743" i="1"/>
  <c r="T743" i="1"/>
  <c r="T742" i="1"/>
  <c r="T741" i="1"/>
  <c r="T740" i="1"/>
  <c r="T739" i="1"/>
  <c r="U737" i="1"/>
  <c r="T737" i="1"/>
  <c r="T736" i="1"/>
  <c r="T735" i="1"/>
  <c r="T734" i="1"/>
  <c r="T733" i="1"/>
  <c r="U731" i="1"/>
  <c r="U730" i="1" s="1"/>
  <c r="T731" i="1"/>
  <c r="T730" i="1"/>
  <c r="U729" i="1"/>
  <c r="U728" i="1" s="1"/>
  <c r="T729" i="1"/>
  <c r="T728" i="1"/>
  <c r="U727" i="1"/>
  <c r="T727" i="1"/>
  <c r="T726" i="1"/>
  <c r="T725" i="1"/>
  <c r="T724" i="1"/>
  <c r="T723" i="1"/>
  <c r="U721" i="1"/>
  <c r="U720" i="1" s="1"/>
  <c r="T721" i="1"/>
  <c r="T720" i="1"/>
  <c r="U719" i="1"/>
  <c r="U718" i="1" s="1"/>
  <c r="T719" i="1"/>
  <c r="T718" i="1"/>
  <c r="U717" i="1"/>
  <c r="U716" i="1" s="1"/>
  <c r="T717" i="1"/>
  <c r="T716" i="1"/>
  <c r="U715" i="1"/>
  <c r="T715" i="1"/>
  <c r="T714" i="1"/>
  <c r="T713" i="1"/>
  <c r="T712" i="1"/>
  <c r="T711" i="1"/>
  <c r="U709" i="1"/>
  <c r="U708" i="1" s="1"/>
  <c r="T709" i="1"/>
  <c r="T708" i="1"/>
  <c r="U707" i="1"/>
  <c r="T707" i="1"/>
  <c r="P707" i="1"/>
  <c r="T706" i="1"/>
  <c r="T705" i="1"/>
  <c r="T704" i="1"/>
  <c r="T703" i="1"/>
  <c r="U701" i="1"/>
  <c r="U700" i="1" s="1"/>
  <c r="T701" i="1"/>
  <c r="T700" i="1"/>
  <c r="P700" i="1"/>
  <c r="P701" i="1" s="1"/>
  <c r="U699" i="1"/>
  <c r="T699" i="1"/>
  <c r="T698" i="1"/>
  <c r="T697" i="1"/>
  <c r="T696" i="1"/>
  <c r="T695" i="1"/>
  <c r="U693" i="1"/>
  <c r="U692" i="1" s="1"/>
  <c r="T693" i="1"/>
  <c r="T692" i="1"/>
  <c r="U691" i="1"/>
  <c r="T691" i="1"/>
  <c r="T690" i="1"/>
  <c r="T689" i="1"/>
  <c r="T688" i="1"/>
  <c r="T687" i="1"/>
  <c r="U684" i="1"/>
  <c r="U683" i="1" s="1"/>
  <c r="T684" i="1"/>
  <c r="T683" i="1"/>
  <c r="U682" i="1"/>
  <c r="U681" i="1" s="1"/>
  <c r="T682" i="1"/>
  <c r="T681" i="1"/>
  <c r="U680" i="1"/>
  <c r="U679" i="1" s="1"/>
  <c r="T680" i="1"/>
  <c r="T679" i="1"/>
  <c r="U678" i="1"/>
  <c r="T678" i="1"/>
  <c r="T677" i="1"/>
  <c r="T676" i="1"/>
  <c r="T675" i="1"/>
  <c r="T674" i="1"/>
  <c r="U672" i="1"/>
  <c r="U671" i="1" s="1"/>
  <c r="T672" i="1"/>
  <c r="T671" i="1"/>
  <c r="U670" i="1"/>
  <c r="T670" i="1"/>
  <c r="T669" i="1"/>
  <c r="T668" i="1"/>
  <c r="T667" i="1"/>
  <c r="T666" i="1"/>
  <c r="U664" i="1"/>
  <c r="U663" i="1" s="1"/>
  <c r="T664" i="1"/>
  <c r="T663" i="1"/>
  <c r="U662" i="1"/>
  <c r="T662" i="1"/>
  <c r="T661" i="1"/>
  <c r="T660" i="1"/>
  <c r="T659" i="1"/>
  <c r="T658" i="1"/>
  <c r="U656" i="1"/>
  <c r="U655" i="1" s="1"/>
  <c r="T656" i="1"/>
  <c r="T655" i="1"/>
  <c r="U654" i="1"/>
  <c r="U653" i="1" s="1"/>
  <c r="T654" i="1"/>
  <c r="T653" i="1"/>
  <c r="U652" i="1"/>
  <c r="T652" i="1"/>
  <c r="T651" i="1"/>
  <c r="T650" i="1"/>
  <c r="T649" i="1"/>
  <c r="T648" i="1"/>
  <c r="U646" i="1"/>
  <c r="T646" i="1"/>
  <c r="T645" i="1"/>
  <c r="T644" i="1"/>
  <c r="T643" i="1"/>
  <c r="T642" i="1"/>
  <c r="U640" i="1"/>
  <c r="T640" i="1"/>
  <c r="T639" i="1"/>
  <c r="T638" i="1"/>
  <c r="T637" i="1"/>
  <c r="T636" i="1"/>
  <c r="U633" i="1"/>
  <c r="U632" i="1" s="1"/>
  <c r="T633" i="1"/>
  <c r="T632" i="1"/>
  <c r="U631" i="1"/>
  <c r="T631" i="1"/>
  <c r="T630" i="1"/>
  <c r="T629" i="1"/>
  <c r="T628" i="1"/>
  <c r="T627" i="1"/>
  <c r="U625" i="1"/>
  <c r="T625" i="1"/>
  <c r="T624" i="1"/>
  <c r="T623" i="1"/>
  <c r="T622" i="1"/>
  <c r="T621" i="1"/>
  <c r="U618" i="1"/>
  <c r="U617" i="1" s="1"/>
  <c r="T618" i="1"/>
  <c r="T617" i="1"/>
  <c r="U616" i="1"/>
  <c r="T616" i="1"/>
  <c r="T615" i="1"/>
  <c r="T614" i="1"/>
  <c r="T613" i="1"/>
  <c r="T612" i="1"/>
  <c r="T610" i="1"/>
  <c r="T609" i="1"/>
  <c r="I609" i="1"/>
  <c r="K609" i="1" s="1"/>
  <c r="U610" i="1" s="1"/>
  <c r="U609" i="1" s="1"/>
  <c r="T608" i="1"/>
  <c r="T607" i="1"/>
  <c r="K607" i="1"/>
  <c r="U608" i="1" s="1"/>
  <c r="U607" i="1" s="1"/>
  <c r="T606" i="1"/>
  <c r="T605" i="1"/>
  <c r="T604" i="1"/>
  <c r="T603" i="1"/>
  <c r="T602" i="1"/>
  <c r="K601" i="1"/>
  <c r="U606" i="1" s="1"/>
  <c r="U600" i="1"/>
  <c r="U599" i="1" s="1"/>
  <c r="T600" i="1"/>
  <c r="T599" i="1"/>
  <c r="U598" i="1"/>
  <c r="T598" i="1"/>
  <c r="T597" i="1"/>
  <c r="T596" i="1"/>
  <c r="T595" i="1"/>
  <c r="T594" i="1"/>
  <c r="U592" i="1"/>
  <c r="U591" i="1" s="1"/>
  <c r="T592" i="1"/>
  <c r="T591" i="1"/>
  <c r="U590" i="1"/>
  <c r="U589" i="1" s="1"/>
  <c r="T590" i="1"/>
  <c r="T589" i="1"/>
  <c r="U588" i="1"/>
  <c r="U587" i="1" s="1"/>
  <c r="T588" i="1"/>
  <c r="T587" i="1"/>
  <c r="U586" i="1"/>
  <c r="T586" i="1"/>
  <c r="T585" i="1"/>
  <c r="T584" i="1"/>
  <c r="T583" i="1"/>
  <c r="T582" i="1"/>
  <c r="T580" i="1"/>
  <c r="U579" i="1"/>
  <c r="U580" i="1" s="1"/>
  <c r="T579" i="1"/>
  <c r="U578" i="1"/>
  <c r="T578" i="1"/>
  <c r="T577" i="1"/>
  <c r="T576" i="1"/>
  <c r="T575" i="1"/>
  <c r="T574" i="1"/>
  <c r="T572" i="1"/>
  <c r="U571" i="1"/>
  <c r="U572" i="1" s="1"/>
  <c r="T571" i="1"/>
  <c r="T570" i="1"/>
  <c r="T569" i="1"/>
  <c r="T568" i="1"/>
  <c r="T567" i="1"/>
  <c r="T566" i="1"/>
  <c r="K565" i="1"/>
  <c r="U570" i="1" s="1"/>
  <c r="T563" i="1"/>
  <c r="U562" i="1"/>
  <c r="U563" i="1" s="1"/>
  <c r="T562" i="1"/>
  <c r="U561" i="1"/>
  <c r="T561" i="1"/>
  <c r="U560" i="1"/>
  <c r="T560" i="1"/>
  <c r="U559" i="1"/>
  <c r="T559" i="1"/>
  <c r="T558" i="1"/>
  <c r="T557" i="1"/>
  <c r="T556" i="1"/>
  <c r="T555" i="1"/>
  <c r="T554" i="1"/>
  <c r="U553" i="1"/>
  <c r="U552" i="1" s="1"/>
  <c r="T553" i="1"/>
  <c r="T552" i="1"/>
  <c r="U551" i="1"/>
  <c r="T551" i="1"/>
  <c r="T550" i="1"/>
  <c r="T549" i="1"/>
  <c r="T548" i="1"/>
  <c r="T547" i="1"/>
  <c r="T546" i="1"/>
  <c r="T545" i="1"/>
  <c r="T544" i="1"/>
  <c r="K544" i="1"/>
  <c r="U544" i="1" s="1"/>
  <c r="U545" i="1" s="1"/>
  <c r="T543" i="1"/>
  <c r="T542" i="1"/>
  <c r="I542" i="1"/>
  <c r="K542" i="1" s="1"/>
  <c r="U543" i="1" s="1"/>
  <c r="U542" i="1" s="1"/>
  <c r="U541" i="1"/>
  <c r="T541" i="1"/>
  <c r="T540" i="1"/>
  <c r="T539" i="1"/>
  <c r="T538" i="1"/>
  <c r="U537" i="1"/>
  <c r="T537" i="1"/>
  <c r="N532" i="1"/>
  <c r="L532" i="1" s="1"/>
  <c r="N531" i="1"/>
  <c r="N457" i="1"/>
  <c r="K410" i="1"/>
  <c r="I410" i="1"/>
  <c r="I346" i="1"/>
  <c r="I344" i="1"/>
  <c r="K322" i="1"/>
  <c r="T1073" i="1" l="1"/>
  <c r="T1043" i="1"/>
  <c r="T1166" i="1"/>
  <c r="T1234" i="1"/>
  <c r="T1135" i="1"/>
  <c r="T1176" i="1"/>
  <c r="T1153" i="1"/>
  <c r="T1212" i="1"/>
  <c r="T1237" i="1"/>
  <c r="T1123" i="1"/>
  <c r="T1191" i="1"/>
  <c r="T1220" i="1"/>
  <c r="T1136" i="1"/>
  <c r="T1248" i="1"/>
  <c r="T1063" i="1"/>
  <c r="T1094" i="1"/>
  <c r="T1096" i="1"/>
  <c r="T1202" i="1"/>
  <c r="T1105" i="1"/>
  <c r="T1221" i="1"/>
  <c r="T1022" i="1"/>
  <c r="T1082" i="1"/>
  <c r="T1106" i="1"/>
  <c r="T1195" i="1"/>
  <c r="T1053" i="1"/>
  <c r="T1144" i="1"/>
  <c r="T1173" i="1"/>
  <c r="T1227" i="1"/>
  <c r="T1084" i="1"/>
  <c r="T1037" i="1"/>
  <c r="T1124" i="1"/>
  <c r="T1154" i="1"/>
  <c r="T1068" i="1"/>
  <c r="T1238" i="1"/>
  <c r="T1046" i="1"/>
  <c r="T1069" i="1"/>
  <c r="T1138" i="1"/>
  <c r="T1156" i="1"/>
  <c r="T1203" i="1"/>
  <c r="T1028" i="1"/>
  <c r="T1070" i="1"/>
  <c r="T1086" i="1"/>
  <c r="T1116" i="1"/>
  <c r="T1245" i="1"/>
  <c r="T1030" i="1"/>
  <c r="T1117" i="1"/>
  <c r="T1139" i="1"/>
  <c r="T1185" i="1"/>
  <c r="T1052" i="1"/>
  <c r="T1038" i="1"/>
  <c r="T1056" i="1"/>
  <c r="T1100" i="1"/>
  <c r="T1215" i="1"/>
  <c r="T1021" i="1"/>
  <c r="T1039" i="1"/>
  <c r="T1058" i="1"/>
  <c r="T1081" i="1"/>
  <c r="T1129" i="1"/>
  <c r="T1148" i="1"/>
  <c r="T1172" i="1"/>
  <c r="T1236" i="1"/>
  <c r="T1207" i="1"/>
  <c r="T1059" i="1"/>
  <c r="T1090" i="1"/>
  <c r="T1107" i="1"/>
  <c r="T1193" i="1"/>
  <c r="T1211" i="1"/>
  <c r="T1242" i="1"/>
  <c r="T1029" i="1"/>
  <c r="T1075" i="1"/>
  <c r="T1108" i="1"/>
  <c r="T1128" i="1"/>
  <c r="T1143" i="1"/>
  <c r="T1158" i="1"/>
  <c r="T1177" i="1"/>
  <c r="T1230" i="1"/>
  <c r="T1034" i="1"/>
  <c r="T1076" i="1"/>
  <c r="T1112" i="1"/>
  <c r="T1130" i="1"/>
  <c r="T1163" i="1"/>
  <c r="T1182" i="1"/>
  <c r="T1035" i="1"/>
  <c r="T1047" i="1"/>
  <c r="T1067" i="1"/>
  <c r="T1093" i="1"/>
  <c r="T1113" i="1"/>
  <c r="T1147" i="1"/>
  <c r="T1183" i="1"/>
  <c r="T1200" i="1"/>
  <c r="T1159" i="1"/>
  <c r="T1167" i="1"/>
  <c r="T1187" i="1"/>
  <c r="T1196" i="1"/>
  <c r="T1223" i="1"/>
  <c r="T1231" i="1"/>
  <c r="T1239" i="1"/>
  <c r="T1023" i="1"/>
  <c r="T1031" i="1"/>
  <c r="T1040" i="1"/>
  <c r="T1060" i="1"/>
  <c r="T1078" i="1"/>
  <c r="T1087" i="1"/>
  <c r="T1097" i="1"/>
  <c r="T1109" i="1"/>
  <c r="T1120" i="1"/>
  <c r="T1132" i="1"/>
  <c r="T1140" i="1"/>
  <c r="T1150" i="1"/>
  <c r="T1160" i="1"/>
  <c r="T1168" i="1"/>
  <c r="T1179" i="1"/>
  <c r="T1188" i="1"/>
  <c r="T1197" i="1"/>
  <c r="T1204" i="1"/>
  <c r="T1213" i="1"/>
  <c r="T1224" i="1"/>
  <c r="T1240" i="1"/>
  <c r="T1246" i="1"/>
  <c r="T1024" i="1"/>
  <c r="T1032" i="1"/>
  <c r="T1041" i="1"/>
  <c r="T1050" i="1"/>
  <c r="T1061" i="1"/>
  <c r="T1071" i="1"/>
  <c r="T1079" i="1"/>
  <c r="T1088" i="1"/>
  <c r="T1098" i="1"/>
  <c r="T1121" i="1"/>
  <c r="T1133" i="1"/>
  <c r="T1151" i="1"/>
  <c r="T1161" i="1"/>
  <c r="T1180" i="1"/>
  <c r="T1189" i="1"/>
  <c r="T1198" i="1"/>
  <c r="T1225" i="1"/>
  <c r="T1232" i="1"/>
  <c r="T1241" i="1"/>
  <c r="T1247" i="1"/>
  <c r="T1025" i="1"/>
  <c r="T1033" i="1"/>
  <c r="T1042" i="1"/>
  <c r="T1051" i="1"/>
  <c r="T1062" i="1"/>
  <c r="T1072" i="1"/>
  <c r="T1080" i="1"/>
  <c r="T1089" i="1"/>
  <c r="T1099" i="1"/>
  <c r="T1111" i="1"/>
  <c r="T1122" i="1"/>
  <c r="T1134" i="1"/>
  <c r="T1142" i="1"/>
  <c r="T1152" i="1"/>
  <c r="T1162" i="1"/>
  <c r="T1171" i="1"/>
  <c r="T1181" i="1"/>
  <c r="T1190" i="1"/>
  <c r="T1199" i="1"/>
  <c r="T1205" i="1"/>
  <c r="T1214" i="1"/>
  <c r="T1226" i="1"/>
  <c r="T1233" i="1"/>
  <c r="T1026" i="1"/>
  <c r="T1044" i="1"/>
  <c r="T1054" i="1"/>
  <c r="T1101" i="1"/>
  <c r="T1114" i="1"/>
  <c r="T1145" i="1"/>
  <c r="T1164" i="1"/>
  <c r="T1174" i="1"/>
  <c r="T1208" i="1"/>
  <c r="T1217" i="1"/>
  <c r="T1228" i="1"/>
  <c r="T1243" i="1"/>
  <c r="T1249" i="1"/>
  <c r="T1251" i="1" s="1"/>
  <c r="T1252" i="1" s="1"/>
  <c r="T1253" i="1" s="1"/>
  <c r="T1254" i="1" s="1"/>
  <c r="T1255" i="1" s="1"/>
  <c r="T1256" i="1" s="1"/>
  <c r="T1257" i="1" s="1"/>
  <c r="T1027" i="1"/>
  <c r="T1036" i="1"/>
  <c r="T1064" i="1"/>
  <c r="T1074" i="1"/>
  <c r="T1083" i="1"/>
  <c r="T1091" i="1"/>
  <c r="T1102" i="1"/>
  <c r="T1115" i="1"/>
  <c r="T1126" i="1"/>
  <c r="T1137" i="1"/>
  <c r="T1146" i="1"/>
  <c r="T1155" i="1"/>
  <c r="T1175" i="1"/>
  <c r="P1258" i="1"/>
  <c r="T1192" i="1"/>
  <c r="T1201" i="1"/>
  <c r="T1209" i="1"/>
  <c r="T1218" i="1"/>
  <c r="T1235" i="1"/>
  <c r="P1807" i="1"/>
  <c r="T1045" i="1"/>
  <c r="T1055" i="1"/>
  <c r="T1066" i="1"/>
  <c r="T1092" i="1"/>
  <c r="T1127" i="1"/>
  <c r="T1165" i="1"/>
  <c r="T1184" i="1"/>
  <c r="T1210" i="1"/>
  <c r="T1219" i="1"/>
  <c r="T1229" i="1"/>
  <c r="T768" i="1"/>
  <c r="T769" i="1" s="1"/>
  <c r="T770" i="1" s="1"/>
  <c r="T771" i="1" s="1"/>
  <c r="T772" i="1" s="1"/>
  <c r="T773" i="1" s="1"/>
  <c r="P767" i="1"/>
  <c r="P216" i="1" l="1"/>
  <c r="P270" i="1"/>
  <c r="P209" i="1"/>
  <c r="P210" i="1" s="1"/>
  <c r="P290" i="1" s="1"/>
  <c r="P275" i="1"/>
  <c r="U50" i="1"/>
  <c r="I118" i="1" l="1"/>
  <c r="K118" i="1" s="1"/>
  <c r="K116" i="1"/>
  <c r="K110" i="1"/>
  <c r="K53" i="1"/>
  <c r="I51" i="1"/>
  <c r="K51" i="1" s="1"/>
  <c r="U142" i="1"/>
  <c r="U140" i="1"/>
  <c r="U281" i="1"/>
  <c r="U274" i="1"/>
  <c r="U273" i="1" s="1"/>
  <c r="U272" i="1"/>
  <c r="U271" i="1" s="1"/>
  <c r="U270" i="1"/>
  <c r="U269" i="1" s="1"/>
  <c r="U268" i="1"/>
  <c r="U267" i="1" s="1"/>
  <c r="U266" i="1" l="1"/>
  <c r="U260" i="1"/>
  <c r="U259" i="1" s="1"/>
  <c r="U258" i="1"/>
  <c r="U257" i="1" s="1"/>
  <c r="U256" i="1"/>
  <c r="U255" i="1" s="1"/>
  <c r="U254" i="1"/>
  <c r="U253" i="1" s="1"/>
  <c r="U252" i="1"/>
  <c r="U246" i="1"/>
  <c r="U240" i="1"/>
  <c r="U239" i="1" s="1"/>
  <c r="U238" i="1"/>
  <c r="U237" i="1"/>
  <c r="U236" i="1"/>
  <c r="U230" i="1"/>
  <c r="U229" i="1" s="1"/>
  <c r="U228" i="1"/>
  <c r="U227" i="1" s="1"/>
  <c r="U226" i="1"/>
  <c r="U225" i="1" s="1"/>
  <c r="U224" i="1"/>
  <c r="U218" i="1"/>
  <c r="U217" i="1" s="1"/>
  <c r="U216" i="1"/>
  <c r="U210" i="1"/>
  <c r="U209" i="1" s="1"/>
  <c r="U208" i="1"/>
  <c r="U202" i="1"/>
  <c r="U201" i="1" s="1"/>
  <c r="U200" i="1"/>
  <c r="U193" i="1"/>
  <c r="U192" i="1" s="1"/>
  <c r="U191" i="1"/>
  <c r="U190" i="1" s="1"/>
  <c r="U189" i="1"/>
  <c r="U188" i="1" s="1"/>
  <c r="U187" i="1"/>
  <c r="U181" i="1"/>
  <c r="U180" i="1" s="1"/>
  <c r="U179" i="1"/>
  <c r="U173" i="1"/>
  <c r="U172" i="1" s="1"/>
  <c r="U171" i="1"/>
  <c r="U165" i="1"/>
  <c r="U164" i="1" s="1"/>
  <c r="U163" i="1"/>
  <c r="U162" i="1" s="1"/>
  <c r="U161" i="1"/>
  <c r="U155" i="1"/>
  <c r="U149" i="1"/>
  <c r="U141" i="1"/>
  <c r="U134" i="1"/>
  <c r="U127" i="1"/>
  <c r="U126" i="1" s="1"/>
  <c r="U125" i="1"/>
  <c r="U119" i="1"/>
  <c r="U118" i="1" s="1"/>
  <c r="U117" i="1"/>
  <c r="U116" i="1" s="1"/>
  <c r="U115" i="1"/>
  <c r="U109" i="1"/>
  <c r="U108" i="1" s="1"/>
  <c r="U107" i="1"/>
  <c r="U101" i="1"/>
  <c r="U100" i="1" s="1"/>
  <c r="U99" i="1"/>
  <c r="U98" i="1" s="1"/>
  <c r="U97" i="1"/>
  <c r="U96" i="1" s="1"/>
  <c r="U95" i="1"/>
  <c r="U88" i="1"/>
  <c r="U89" i="1" s="1"/>
  <c r="U87" i="1"/>
  <c r="U80" i="1"/>
  <c r="U81" i="1" s="1"/>
  <c r="U79" i="1"/>
  <c r="U71" i="1"/>
  <c r="U72" i="1" s="1"/>
  <c r="U70" i="1"/>
  <c r="U69" i="1"/>
  <c r="U68" i="1"/>
  <c r="U62" i="1"/>
  <c r="U61" i="1" s="1"/>
  <c r="U60" i="1"/>
  <c r="U53" i="1"/>
  <c r="U54" i="1" s="1"/>
  <c r="U52" i="1"/>
  <c r="U51" i="1" s="1"/>
  <c r="U46" i="1"/>
  <c r="K74" i="1"/>
  <c r="T290" i="1"/>
  <c r="T286" i="1" s="1"/>
  <c r="T287" i="1" l="1"/>
  <c r="T284" i="1"/>
  <c r="T288" i="1"/>
  <c r="T285" i="1"/>
  <c r="T289" i="1"/>
  <c r="T112" i="1" l="1"/>
  <c r="T141" i="1"/>
  <c r="T95" i="1"/>
  <c r="T79" i="1"/>
  <c r="T193" i="1"/>
  <c r="T168" i="1"/>
  <c r="T177" i="1"/>
  <c r="T172" i="1"/>
  <c r="T100" i="1"/>
  <c r="T160" i="1"/>
  <c r="T222" i="1"/>
  <c r="T200" i="1"/>
  <c r="T58" i="1"/>
  <c r="T61" i="1"/>
  <c r="T171" i="1"/>
  <c r="T165" i="1"/>
  <c r="T236" i="1"/>
  <c r="T163" i="1"/>
  <c r="T255" i="1"/>
  <c r="T167" i="1"/>
  <c r="T108" i="1"/>
  <c r="T126" i="1"/>
  <c r="T48" i="1"/>
  <c r="T51" i="1"/>
  <c r="T225" i="1"/>
  <c r="T50" i="1"/>
  <c r="T49" i="1" l="1"/>
  <c r="T89" i="1"/>
  <c r="T199" i="1"/>
  <c r="T158" i="1"/>
  <c r="T137" i="1"/>
  <c r="T186" i="1"/>
  <c r="T204" i="1"/>
  <c r="T107" i="1"/>
  <c r="T213" i="1"/>
  <c r="T243" i="1"/>
  <c r="T59" i="1"/>
  <c r="T148" i="1"/>
  <c r="T208" i="1"/>
  <c r="T52" i="1"/>
  <c r="T209" i="1"/>
  <c r="T246" i="1"/>
  <c r="T84" i="1"/>
  <c r="T85" i="1"/>
  <c r="T130" i="1"/>
  <c r="T198" i="1"/>
  <c r="T125" i="1"/>
  <c r="T136" i="1"/>
  <c r="T131" i="1"/>
  <c r="T259" i="1"/>
  <c r="T256" i="1"/>
  <c r="T123" i="1"/>
  <c r="T272" i="1"/>
  <c r="T270" i="1"/>
  <c r="T111" i="1"/>
  <c r="T140" i="1"/>
  <c r="T149" i="1"/>
  <c r="T202" i="1"/>
  <c r="T181" i="1"/>
  <c r="T94" i="1"/>
  <c r="T62" i="1"/>
  <c r="T63" i="1"/>
  <c r="T216" i="1"/>
  <c r="T83" i="1"/>
  <c r="T190" i="1"/>
  <c r="T234" i="1"/>
  <c r="T215" i="1"/>
  <c r="T115" i="1"/>
  <c r="T145" i="1"/>
  <c r="T117" i="1"/>
  <c r="T260" i="1"/>
  <c r="T210" i="1"/>
  <c r="T93" i="1"/>
  <c r="T97" i="1"/>
  <c r="T250" i="1"/>
  <c r="T98" i="1"/>
  <c r="T91" i="1"/>
  <c r="T113" i="1"/>
  <c r="T169" i="1"/>
  <c r="T104" i="1"/>
  <c r="T248" i="1"/>
  <c r="T264" i="1"/>
  <c r="T152" i="1"/>
  <c r="T138" i="1"/>
  <c r="T77" i="1"/>
  <c r="T134" i="1"/>
  <c r="T238" i="1"/>
  <c r="T92" i="1"/>
  <c r="T230" i="1"/>
  <c r="T96" i="1"/>
  <c r="T218" i="1"/>
  <c r="T55" i="1"/>
  <c r="T242" i="1"/>
  <c r="T105" i="1"/>
  <c r="T227" i="1"/>
  <c r="T132" i="1"/>
  <c r="T265" i="1"/>
  <c r="T151" i="1"/>
  <c r="T274" i="1"/>
  <c r="T192" i="1"/>
  <c r="T69" i="1"/>
  <c r="T72" i="1"/>
  <c r="T226" i="1"/>
  <c r="T146" i="1"/>
  <c r="T252" i="1"/>
  <c r="T189" i="1"/>
  <c r="T127" i="1"/>
  <c r="T223" i="1"/>
  <c r="T205" i="1"/>
  <c r="T206" i="1"/>
  <c r="T106" i="1"/>
  <c r="T103" i="1"/>
  <c r="T124" i="1"/>
  <c r="T217" i="1"/>
  <c r="T147" i="1"/>
  <c r="T245" i="1"/>
  <c r="T75" i="1"/>
  <c r="T237" i="1"/>
  <c r="T80" i="1"/>
  <c r="T201" i="1"/>
  <c r="T262" i="1"/>
  <c r="T164" i="1"/>
  <c r="T258" i="1"/>
  <c r="T207" i="1"/>
  <c r="T57" i="1"/>
  <c r="T220" i="1"/>
  <c r="T87" i="1"/>
  <c r="T71" i="1"/>
  <c r="T271" i="1"/>
  <c r="T185" i="1"/>
  <c r="T249" i="1"/>
  <c r="T224" i="1"/>
  <c r="T240" i="1"/>
  <c r="T161" i="1"/>
  <c r="T268" i="1"/>
  <c r="T53" i="1"/>
  <c r="T116" i="1"/>
  <c r="T157" i="1"/>
  <c r="T60" i="1"/>
  <c r="T188" i="1"/>
  <c r="T191" i="1"/>
  <c r="T267" i="1"/>
  <c r="T66" i="1"/>
  <c r="T273" i="1"/>
  <c r="T180" i="1"/>
  <c r="T86" i="1"/>
  <c r="T99" i="1"/>
  <c r="T228" i="1"/>
  <c r="T229" i="1"/>
  <c r="T78" i="1"/>
  <c r="T244" i="1"/>
  <c r="T56" i="1"/>
  <c r="T119" i="1"/>
  <c r="T122" i="1"/>
  <c r="T266" i="1"/>
  <c r="T239" i="1"/>
  <c r="T212" i="1"/>
  <c r="T176" i="1"/>
  <c r="T154" i="1"/>
  <c r="T269" i="1"/>
  <c r="T254" i="1"/>
  <c r="T214" i="1"/>
  <c r="T64" i="1"/>
  <c r="T47" i="1"/>
  <c r="T221" i="1"/>
  <c r="T196" i="1"/>
  <c r="T173" i="1"/>
  <c r="T101" i="1"/>
  <c r="T253" i="1"/>
  <c r="T114" i="1"/>
  <c r="T118" i="1"/>
  <c r="T155" i="1"/>
  <c r="T187" i="1"/>
  <c r="T183" i="1"/>
  <c r="T257" i="1"/>
  <c r="T178" i="1"/>
  <c r="T67" i="1"/>
  <c r="T233" i="1"/>
  <c r="T235" i="1"/>
  <c r="T179" i="1"/>
  <c r="T159" i="1"/>
  <c r="T46" i="1"/>
  <c r="T76" i="1"/>
  <c r="T162" i="1"/>
  <c r="T121" i="1"/>
  <c r="T232" i="1"/>
  <c r="T251" i="1"/>
  <c r="T109" i="1"/>
  <c r="T88" i="1"/>
  <c r="T142" i="1"/>
  <c r="T261" i="1"/>
  <c r="T68" i="1"/>
  <c r="T81" i="1"/>
  <c r="T197" i="1"/>
  <c r="T153" i="1"/>
  <c r="T139" i="1"/>
  <c r="T133" i="1"/>
  <c r="T170" i="1"/>
  <c r="T70" i="1"/>
  <c r="T263" i="1"/>
  <c r="T175" i="1"/>
  <c r="T54" i="1"/>
  <c r="T184" i="1"/>
  <c r="T65" i="1"/>
  <c r="T276" i="1" l="1"/>
  <c r="T277" i="1" l="1"/>
  <c r="T278" i="1" l="1"/>
  <c r="T279" i="1" l="1"/>
  <c r="T280" i="1" l="1"/>
  <c r="T281" i="1" l="1"/>
  <c r="T282" i="1" l="1"/>
</calcChain>
</file>

<file path=xl/sharedStrings.xml><?xml version="1.0" encoding="utf-8"?>
<sst xmlns="http://schemas.openxmlformats.org/spreadsheetml/2006/main" count="5818" uniqueCount="946">
  <si>
    <t>Приложение № 3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</si>
  <si>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</si>
  <si>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</si>
  <si>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</si>
  <si>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/>
  </si>
  <si>
    <t>"____" ________________ 2024 года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</si>
  <si>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</si>
  <si>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</si>
  <si>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</si>
  <si>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</si>
  <si>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</si>
  <si>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</si>
  <si>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</si>
  <si>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</si>
  <si>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</si>
  <si>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</si>
  <si>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91. Республика Крым</t>
  </si>
  <si>
    <t xml:space="preserve">Наименование зоны субъекта Российской Федерации </t>
  </si>
  <si>
    <t>Ремонт</t>
  </si>
  <si>
    <t>(наименование стройки)</t>
  </si>
  <si>
    <t>(наименование объекта капитального строительства)</t>
  </si>
  <si>
    <t>Выполнение работ по ремонту санузла 3 этаж (муж.)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</si>
  <si>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</si>
  <si>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</si>
  <si>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</si>
  <si>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</si>
  <si>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</si>
  <si>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</si>
  <si>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</si>
  <si>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</si>
  <si>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III квартал 2023 г.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</si>
  <si>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</si>
  <si>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</si>
  <si>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</si>
  <si>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</si>
  <si>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</si>
  <si>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Средства на оплату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</si>
  <si>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</si>
  <si>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</si>
  <si>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</si>
  <si>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</si>
  <si>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</si>
  <si>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</si>
  <si>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</si>
  <si>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</si>
  <si>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</si>
  <si>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</si>
  <si>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</si>
  <si>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</si>
  <si>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</si>
  <si>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Санузел</t>
  </si>
  <si>
    <t>Потолок</t>
  </si>
  <si>
    <t>1</t>
  </si>
  <si>
    <t>ГЭСН15-04-007-02</t>
  </si>
  <si>
    <t>Окраска водно-дисперсионными акриловыми составами улучшенная: по штукатурке потолков</t>
  </si>
  <si>
    <t>100 м2</t>
  </si>
  <si>
    <t>Итого прямые затраты</t>
  </si>
  <si>
    <t>ФОТ</t>
  </si>
  <si>
    <t>Пр/812-015.0-1</t>
  </si>
  <si>
    <t>НР Отделочные работы</t>
  </si>
  <si>
    <t>%</t>
  </si>
  <si>
    <t>Пр/774-015.0</t>
  </si>
  <si>
    <t>СП Отделочные работы</t>
  </si>
  <si>
    <t>Всего по позиции</t>
  </si>
  <si>
    <t>2</t>
  </si>
  <si>
    <t>ФСБЦ-14.4.01.02-0012</t>
  </si>
  <si>
    <t>Грунтовка укрепляющая, глубокого проникновения, быстросохнущая, паропроницаемая</t>
  </si>
  <si>
    <t>кг</t>
  </si>
  <si>
    <t>3</t>
  </si>
  <si>
    <t>ФСБЦ-14.3.02.01-0111</t>
  </si>
  <si>
    <t>Краска водно-дисперсионная акрилатная ВД-АК-101</t>
  </si>
  <si>
    <t>т</t>
  </si>
  <si>
    <t>4</t>
  </si>
  <si>
    <t>ГЭСНр67-01-008-02</t>
  </si>
  <si>
    <t>Смена светильников: с люминесцентными лампами</t>
  </si>
  <si>
    <t>100 шт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</si>
  <si>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</si>
  <si>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</si>
  <si>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</si>
  <si>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</si>
  <si>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5</t>
  </si>
  <si>
    <t>ФСБЦ-20.3.03.07-0095</t>
  </si>
  <si>
    <t>Светильник потолочный с декоративной накладкой, мощность 45 Вт, световой поток 4200 лм, степень защиты IP40, 595х595х42 мм</t>
  </si>
  <si>
    <t>шт</t>
  </si>
  <si>
    <t>6</t>
  </si>
  <si>
    <t>ГЭСНр67-01-009-01</t>
  </si>
  <si>
    <t>Смена: выключателей</t>
  </si>
  <si>
    <t>7</t>
  </si>
  <si>
    <t>ФСБЦ-20.4.01.02-1023</t>
  </si>
  <si>
    <t>Выключатель скрытого монтажа, одноклавишный, 10 А, цвет белый, IP20</t>
  </si>
  <si>
    <t>8</t>
  </si>
  <si>
    <t>ФСБЦ-20.5.02.11-0001</t>
  </si>
  <si>
    <t>Коробки для установки розеток и выключателей скрытой проводки</t>
  </si>
  <si>
    <t>1000 шт</t>
  </si>
  <si>
    <t>Стены</t>
  </si>
  <si>
    <t>9</t>
  </si>
  <si>
    <t>ГЭСН10-05-012-01</t>
  </si>
  <si>
    <t>Облицовка стен глухих (без проемов) по металлическому одинарному каркасу гипсокартонными листами</t>
  </si>
  <si>
    <t>Пр/812-010.0-1</t>
  </si>
  <si>
    <t>НР Деревянные конструкции</t>
  </si>
  <si>
    <t>Пр/774-010.0</t>
  </si>
  <si>
    <t>СП Деревянные конструкции</t>
  </si>
  <si>
    <t>10</t>
  </si>
  <si>
    <t>ФСБЦ-01.6.01.02-0006</t>
  </si>
  <si>
    <t>Листы гипсокартонные ГКЛ, толщина 12,5 мм</t>
  </si>
  <si>
    <t>м2</t>
  </si>
  <si>
    <t>11</t>
  </si>
  <si>
    <t>ГЭСН15-04-006-03</t>
  </si>
  <si>
    <t>Покрытие поверхностей грунтовкой глубокого проникновения: за 1 раз стен</t>
  </si>
  <si>
    <t>12</t>
  </si>
  <si>
    <t>ФСБЦ-14.3.01.03-0001</t>
  </si>
  <si>
    <t>Состав грунтовочный глубокого проникновения</t>
  </si>
  <si>
    <t>13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</si>
  <si>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</si>
  <si>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</si>
  <si>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14</t>
  </si>
  <si>
    <t>ФСБЦ-14.5.11.03-0004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</si>
  <si>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</si>
  <si>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15</t>
  </si>
  <si>
    <t>ФСБЦ-01.8.01.06-0001</t>
  </si>
  <si>
    <t>Сетка из стекловолокна армирующая фасадная, размеры ячейки 4х4 мм, поверхностная плотность 165 г/м2</t>
  </si>
  <si>
    <t>16</t>
  </si>
  <si>
    <t>17</t>
  </si>
  <si>
    <t>ГЭСН10-01-036-01</t>
  </si>
  <si>
    <t>Установка уголков ПВХ на клее</t>
  </si>
  <si>
    <t>100 м</t>
  </si>
  <si>
    <t>18</t>
  </si>
  <si>
    <t>ФСБЦ-11.3.03.13-0042</t>
  </si>
  <si>
    <t>Уголки из ПВХ, размеры 15х15 мм</t>
  </si>
  <si>
    <t>10 м</t>
  </si>
  <si>
    <t>19</t>
  </si>
  <si>
    <t>ГЭСН15-04-007-01</t>
  </si>
  <si>
    <t>Окраска водно-дисперсионными акриловыми составами улучшенная: по штукатурке стен</t>
  </si>
  <si>
    <t>20</t>
  </si>
  <si>
    <t>ФСБЦ-14.3.02.03-0014</t>
  </si>
  <si>
    <t>Краска водно-дисперсионная поливинилацетатная ВД-ВА-27А, цветная</t>
  </si>
  <si>
    <t>21</t>
  </si>
  <si>
    <t>ФСБЦ-14.3.01.01-0001</t>
  </si>
  <si>
    <t>Грунтовка адгезионная для обработки плотных, гладких, слабо- и не впитывающих влагу оснований</t>
  </si>
  <si>
    <t>22</t>
  </si>
  <si>
    <t>ГЭСН15-01-019-01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</si>
  <si>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</si>
  <si>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23</t>
  </si>
  <si>
    <t>ФСБЦ-06.2.01.02-0041</t>
  </si>
  <si>
    <t>Плитка керамическая для внутренней облицовки стен, глазурованная, гладкая, цветная, толщина 7 мм</t>
  </si>
  <si>
    <t>Двери</t>
  </si>
  <si>
    <t>24</t>
  </si>
  <si>
    <t>ГЭСН46-04-012-03</t>
  </si>
  <si>
    <t>Разборка деревянных заполнений проемов: дверных и воротных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</si>
  <si>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</si>
  <si>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</si>
  <si>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</si>
  <si>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</si>
  <si>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25</t>
  </si>
  <si>
    <t>ГЭСН10-01-047-01</t>
  </si>
  <si>
    <t>Установка блоков из ПВХ в наружных и внутренних дверных проемах: в каменных стенах площадью проема до 3 м2</t>
  </si>
  <si>
    <t>26</t>
  </si>
  <si>
    <t>ФСБЦ-11.3.01.02-0034</t>
  </si>
  <si>
    <t>Блок дверной входной из ПВХ-профилей, с простой коробкой, однопольный, с роликовой фурнитурой, с однокамерным стеклопакетом толщиной 24 мм, площадь более 2 м2</t>
  </si>
  <si>
    <t>Полы</t>
  </si>
  <si>
    <t>27</t>
  </si>
  <si>
    <t>ГЭСНр57-01-002-08</t>
  </si>
  <si>
    <t>Разборка покрытий полов: из керамогранитных плит</t>
  </si>
  <si>
    <t>Пр/812-091.0-1</t>
  </si>
  <si>
    <t>НР Полы (ремонтно-строительные)</t>
  </si>
  <si>
    <t>Пр/774-091.0</t>
  </si>
  <si>
    <t>СП Полы (ремонтно-строительные)</t>
  </si>
  <si>
    <t>28</t>
  </si>
  <si>
    <t>ГЭСН46-04-001-02</t>
  </si>
  <si>
    <t>Разборка: бетонных фундаментов (прим.)</t>
  </si>
  <si>
    <t>м3</t>
  </si>
  <si>
    <t>29</t>
  </si>
  <si>
    <t>ГЭСН08-03-004-03</t>
  </si>
  <si>
    <t>Кладка стен из газобетонных блоков на клее без облицовки толщиной: 500 мм при высоте этажа до 4 м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</si>
  <si>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</si>
  <si>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</si>
  <si>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</si>
  <si>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</si>
  <si>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30</t>
  </si>
  <si>
    <t>ФСБЦ-05.2.02.09-0026</t>
  </si>
  <si>
    <t>Блоки из ячеистых бетонов стеновые 1 категории, объемная масса 800 кг/м3, бетон В7,5</t>
  </si>
  <si>
    <t>31</t>
  </si>
  <si>
    <t>ФСБЦ-14.1.06.02-0217</t>
  </si>
  <si>
    <t>Клей монтажный сухой для внутренних работ, для кладки и облицовки керамической плиткой печей, каминов</t>
  </si>
  <si>
    <t>32</t>
  </si>
  <si>
    <t>ГЭСН11-01-011-01</t>
  </si>
  <si>
    <t>Устройство стяжек: цементных толщиной 20 мм</t>
  </si>
  <si>
    <t>Пр/812-011.0-1</t>
  </si>
  <si>
    <t>НР Полы</t>
  </si>
  <si>
    <t>Пр/774-011.0</t>
  </si>
  <si>
    <t>СП Полы</t>
  </si>
  <si>
    <t>33</t>
  </si>
  <si>
    <t>ФСБЦ-04.3.01.09-0015</t>
  </si>
  <si>
    <t>Раствор готовый кладочный, цементный, М150</t>
  </si>
  <si>
    <t>34</t>
  </si>
  <si>
    <t>ГЭСН11-01-011-02</t>
  </si>
  <si>
    <t>Устройство стяжек: на каждые 5 мм изменения толщины стяжки добавлять или исключать к норме 11-01-011-01 (до толщ. 50 мм)</t>
  </si>
  <si>
    <t>35</t>
  </si>
  <si>
    <t>36</t>
  </si>
  <si>
    <t>ГЭСН11-01-047-01</t>
  </si>
  <si>
    <t>Устройство покрытий из плит керамогранитных размером: 40х40 см</t>
  </si>
  <si>
    <t>37</t>
  </si>
  <si>
    <t>ФСБЦ-14.4.01.21-0314</t>
  </si>
  <si>
    <t>Грунтовка с высокой степенью проникновения для укрепления бетонных поверхностей</t>
  </si>
  <si>
    <t>38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</si>
  <si>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</si>
  <si>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</si>
  <si>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39</t>
  </si>
  <si>
    <t>ФСБЦ-06.2.05.03-0003</t>
  </si>
  <si>
    <t>Плитка керамогранитная, неполированная, многоцветная, толщина 9 мм</t>
  </si>
  <si>
    <t>Водопровод и канализация</t>
  </si>
  <si>
    <t>40</t>
  </si>
  <si>
    <t>ГЭСН17-01-001-23</t>
  </si>
  <si>
    <t>Установка трапов диаметром: 100 мм</t>
  </si>
  <si>
    <t>10 компл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</si>
  <si>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</si>
  <si>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</si>
  <si>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</si>
  <si>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</si>
  <si>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41</t>
  </si>
  <si>
    <t>ФСБЦ-18.2.06.10-0001</t>
  </si>
  <si>
    <t>Трап полипропиленовый с горизонтальным отводом, с решеткой из нержавеющей стали, выпуск диаметром 110 (75) мм, размеры 147х147х220 мм</t>
  </si>
  <si>
    <t>компл</t>
  </si>
  <si>
    <t>42</t>
  </si>
  <si>
    <t>Смена: чаш "Генуя"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</si>
  <si>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</si>
  <si>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</si>
  <si>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</si>
  <si>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</si>
  <si>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43</t>
  </si>
  <si>
    <t>ФСБЦ-18.2.02.09-0001</t>
  </si>
  <si>
    <t>Чаша напольная чугунная эмалированная, размеры 530х340х260 мм</t>
  </si>
  <si>
    <t>44</t>
  </si>
  <si>
    <t>ГЭСНр65-01-006-03</t>
  </si>
  <si>
    <t>Смена: сифонов чугунных</t>
  </si>
  <si>
    <t>45</t>
  </si>
  <si>
    <t>ФСБЦ-18.2.06.11-0011</t>
  </si>
  <si>
    <t>Труба полиэтиленовая смывная с резиновыми манжетами, диаметр 110 мм, длина 250 мм</t>
  </si>
  <si>
    <t>46</t>
  </si>
  <si>
    <t>ГЭСН16-04-001-02</t>
  </si>
  <si>
    <t>Прокладка трубопроводов канализации из полиэтиленовых труб высокой плотности диаметром: 110 мм</t>
  </si>
  <si>
    <t>47</t>
  </si>
  <si>
    <t>ФСБЦ-24.3.02.02-0004</t>
  </si>
  <si>
    <t>Трубы полипропиленовые для систем водоотведения, диаметр 110 мм</t>
  </si>
  <si>
    <t>м</t>
  </si>
  <si>
    <t>48</t>
  </si>
  <si>
    <t>ФСБЦ-24.3.05.15-0102</t>
  </si>
  <si>
    <t>Тройник полипропиленовый для систем водоотведения, диаметр 110 мм</t>
  </si>
  <si>
    <t>49</t>
  </si>
  <si>
    <t>ФСБЦ-24.3.05.08-0202</t>
  </si>
  <si>
    <t>Отвод 45° полипропиленовый для систем водоотведения, диаметр 110 мм</t>
  </si>
  <si>
    <t>50</t>
  </si>
  <si>
    <t>ГЭСН16-04-001-01</t>
  </si>
  <si>
    <t>Прокладка трубопроводов канализации из полиэтиленовых труб высокой плотности диаметром: 50 мм</t>
  </si>
  <si>
    <t>51</t>
  </si>
  <si>
    <t>ФСБЦ-24.3.02.02-0003</t>
  </si>
  <si>
    <t>Трубы полипропиленовые для систем водоотведения, диаметр 50 мм</t>
  </si>
  <si>
    <t>52</t>
  </si>
  <si>
    <t>ФСБЦ-24.3.05.08-0201</t>
  </si>
  <si>
    <t>Отвод 45° полипропиленовый для систем водоотведения, диаметр 50 мм</t>
  </si>
  <si>
    <t>53</t>
  </si>
  <si>
    <t>ГЭСН16-04-008-03</t>
  </si>
  <si>
    <t>Сборка узла трубопровода водоснабжения и отопления из труб сшитого полиэтилена, диаметр: 25 мм</t>
  </si>
  <si>
    <t>100 соединений</t>
  </si>
  <si>
    <t>54</t>
  </si>
  <si>
    <t>ГЭСН16-04-005-02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</si>
  <si>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</si>
  <si>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55</t>
  </si>
  <si>
    <t>ФСБЦ-24.3.02.05-0003</t>
  </si>
  <si>
    <t>Трубы полипропиленовые ПП-Р, номинальное давление 1,0 МПа, номинальный наружный диаметр 25 мм</t>
  </si>
  <si>
    <t>56</t>
  </si>
  <si>
    <t>ФСБЦ-24.3.05.15-0192</t>
  </si>
  <si>
    <t>Тройник полипропиленовый, диаметр 25 мм</t>
  </si>
  <si>
    <t>57</t>
  </si>
  <si>
    <t>ФСБЦ-24.3.05.16-0112</t>
  </si>
  <si>
    <t>Угольник 45° полипропиленовый, диаметр 25 мм</t>
  </si>
  <si>
    <t>58</t>
  </si>
  <si>
    <t>ФСБЦ-24.3.05.07-0035</t>
  </si>
  <si>
    <t>Муфта полипропиленовая комбинированная, с внутренней резьбой, номинальный наружный диаметр 25 мм, размер резьбы 1/2"</t>
  </si>
  <si>
    <t>59</t>
  </si>
  <si>
    <t>ГЭСНр65-01-006-24</t>
  </si>
  <si>
    <t>Смена: умывальников</t>
  </si>
  <si>
    <t>60</t>
  </si>
  <si>
    <t>ФСБЦ-18.2.01.05-0205</t>
  </si>
  <si>
    <t>Умывальник фарфоровый округлый с кронштейнами, с центральным отверстием под смеситель, размеры 450х370х130 мм</t>
  </si>
  <si>
    <t>61</t>
  </si>
  <si>
    <t>62</t>
  </si>
  <si>
    <t>ФСБЦ-18.1.10.10-0044</t>
  </si>
  <si>
    <t>Смеситель для мойки и умывальника, однорукояточный, центральный, набортный, с поворотным изливом, с аэратором, вынос излива 220 мм, диаметр излива 16 мм</t>
  </si>
  <si>
    <t>63</t>
  </si>
  <si>
    <t>ФСБЦ-18.2.06.08-0012</t>
  </si>
  <si>
    <t>Подводки гибкие армированные резиновые, диаметр 15 мм, длина 400 мм</t>
  </si>
  <si>
    <t>10 шт</t>
  </si>
  <si>
    <t>64</t>
  </si>
  <si>
    <t>ФСБЦ-18.1.09.06-1022</t>
  </si>
  <si>
    <t>Кран шаровой муфтовый для воды, тип резьбы внутренняя/наружная, номинальный диаметр 15 мм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</si>
  <si>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</si>
  <si>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</si>
  <si>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</si>
  <si>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</si>
  <si>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</si>
  <si>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</si>
  <si>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Компенсация НДС при УСН</t>
  </si>
  <si>
    <t>ВСЕГО по смете</t>
  </si>
  <si>
    <t>IIквартал 2025 г.</t>
  </si>
  <si>
    <r>
      <t xml:space="preserve">Плитка керамогранитная, неполированная, многоцветная, толщина 9 мм                                                                                     </t>
    </r>
    <r>
      <rPr>
        <sz val="8"/>
        <color rgb="FF000000"/>
        <rFont val="Arial"/>
        <family val="2"/>
        <charset val="204"/>
      </rPr>
      <t>Пл=10,53*1,05</t>
    </r>
  </si>
  <si>
    <t xml:space="preserve">ГЭСНр 65-01-006-14 </t>
  </si>
  <si>
    <t>Смена: унитазов</t>
  </si>
  <si>
    <t>Кладка стен из газобетонных блоков на клее без облицовки толщиной: 100 мм при высоте этажа до 4 м</t>
  </si>
  <si>
    <t>Блок из ячеистого газобетона 10х250х600</t>
  </si>
  <si>
    <t>Унгитаз компакт детский</t>
  </si>
  <si>
    <t>65</t>
  </si>
  <si>
    <t xml:space="preserve"> «Устройство сантехнических перегородок</t>
  </si>
  <si>
    <t>ФЕР 10-04-014-01</t>
  </si>
  <si>
    <t>Прайс лист</t>
  </si>
  <si>
    <t xml:space="preserve">Перегородка сантехническая </t>
  </si>
  <si>
    <t>Унитаз компакт детский</t>
  </si>
  <si>
    <t>ФСБЦ-18.2.06.12-0021</t>
  </si>
  <si>
    <t>Пьедестал под умывальник, прямоугольный, керамический, размеры 180х185х650 мм</t>
  </si>
  <si>
    <t>Раздел 4. Ромашка</t>
  </si>
  <si>
    <t>Раздел 5. Тюльпанчик</t>
  </si>
  <si>
    <t>Раздел 6. Колокольчик</t>
  </si>
  <si>
    <t xml:space="preserve">Раздел 7. Туалет сотрудников </t>
  </si>
  <si>
    <t>Раздел 2. туалет сотрудников 1 этаж (север)</t>
  </si>
  <si>
    <t>ТЕРр62-41-1</t>
  </si>
  <si>
    <t>Очистка вручную поверхности фасадов от перхлорвиниловых и масляных красок: с земли и лесов (прим.)</t>
  </si>
  <si>
    <t>Объем=10,41 / 100</t>
  </si>
  <si>
    <t>Объем=(9,51+5,5) / 100</t>
  </si>
  <si>
    <t>ОТ</t>
  </si>
  <si>
    <t>36,38</t>
  </si>
  <si>
    <t>ЗТ</t>
  </si>
  <si>
    <t>чел.-ч</t>
  </si>
  <si>
    <t>20,8</t>
  </si>
  <si>
    <t>3,12208</t>
  </si>
  <si>
    <t>Итого по расценке</t>
  </si>
  <si>
    <t>Приказ № 812/пр от 21.12.2020 Прил. п.96</t>
  </si>
  <si>
    <t>НР Малярные работы (ремонтно-строительные)</t>
  </si>
  <si>
    <t>90</t>
  </si>
  <si>
    <t>Приказ № 774/пр от 11.12.2020 Прил. п.96</t>
  </si>
  <si>
    <t>СП Малярные работы (ремонтно-строительные)</t>
  </si>
  <si>
    <t>ТЕРр57-2-3</t>
  </si>
  <si>
    <t>Разборка покрытий полов: из керамических плиток</t>
  </si>
  <si>
    <t>Объем=1,84 / 100</t>
  </si>
  <si>
    <t>Объем=5,5 / 100</t>
  </si>
  <si>
    <t>ЭМ</t>
  </si>
  <si>
    <t>10,82</t>
  </si>
  <si>
    <t>в т.ч. ОТм</t>
  </si>
  <si>
    <t>69,87</t>
  </si>
  <si>
    <t>3,84285</t>
  </si>
  <si>
    <t>ЗТм</t>
  </si>
  <si>
    <t>1,44</t>
  </si>
  <si>
    <t>0,0792</t>
  </si>
  <si>
    <t>Приказ № 812/пр от 21.12.2020 Прил. п.91</t>
  </si>
  <si>
    <t>89</t>
  </si>
  <si>
    <t>Приказ № 774/пр от 11.12.2020 Прил. п.91</t>
  </si>
  <si>
    <t>ТЕРр57-2-4</t>
  </si>
  <si>
    <t>Разборка покрытий полов: цементных толщиной 150 мм</t>
  </si>
  <si>
    <t xml:space="preserve"> ПЗ=0,3 (ОЗП=0,3; ЭМ=0,3 к расх.; ЗПМ=0,3; МАТ=0,3 к расх.; ТЗ=0,3; ТЗМ=0,3)</t>
  </si>
  <si>
    <t>0,3</t>
  </si>
  <si>
    <t>111,2</t>
  </si>
  <si>
    <t>0,0297</t>
  </si>
  <si>
    <t>ТЕРр63-7-5</t>
  </si>
  <si>
    <t>Разборка облицовки стен: из керамических глазурованных плиток</t>
  </si>
  <si>
    <t>Объем=9,6 / 100</t>
  </si>
  <si>
    <t>Объем=12,44 / 100</t>
  </si>
  <si>
    <t>74,3</t>
  </si>
  <si>
    <t>9,24292</t>
  </si>
  <si>
    <t>0,35</t>
  </si>
  <si>
    <t>0,04354</t>
  </si>
  <si>
    <t>Приказ № 812/пр от 21.12.2020 Прил. п.97</t>
  </si>
  <si>
    <t>НР Стекольные, обойные и облицовочные работы (ремонтно-строительные)</t>
  </si>
  <si>
    <t>Приказ № 774/пр от 11.12.2020 Прил. п.97</t>
  </si>
  <si>
    <t>СП Стекольные, обойные и облицовочные работы (ремонтно-строительные)</t>
  </si>
  <si>
    <t>ТЕР46-02-009-02</t>
  </si>
  <si>
    <t>Отбивка штукатурки с поверхностей: стен и потолков кирпичных</t>
  </si>
  <si>
    <t>Объем=(18,08) / 100</t>
  </si>
  <si>
    <t>Объем=(16,1+9,51) / 100</t>
  </si>
  <si>
    <t>22,82</t>
  </si>
  <si>
    <t>5,844202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</si>
  <si>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</si>
  <si>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</si>
  <si>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103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</si>
  <si>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</si>
  <si>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</si>
  <si>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ТЕРр67-4-3</t>
  </si>
  <si>
    <t>Демонтаж: светильников с лампами накаливания</t>
  </si>
  <si>
    <t>Объем=1 / 100</t>
  </si>
  <si>
    <t>Объем=2 / 100</t>
  </si>
  <si>
    <t>6,32</t>
  </si>
  <si>
    <t>0,1264</t>
  </si>
  <si>
    <t>0,03</t>
  </si>
  <si>
    <t>0,0006</t>
  </si>
  <si>
    <t>Приказ № 812/пр от 21.12.2020 Прил. п.101</t>
  </si>
  <si>
    <t>91</t>
  </si>
  <si>
    <t>Приказ № 774/пр от 11.12.2020 Прил. п.101</t>
  </si>
  <si>
    <t>ТЕРр67-4-1</t>
  </si>
  <si>
    <t>Демонтаж: выключателей, розеток</t>
  </si>
  <si>
    <t>0,01</t>
  </si>
  <si>
    <t>5,84</t>
  </si>
  <si>
    <t>0,0584</t>
  </si>
  <si>
    <t>ТЕР15-02-019-04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</si>
  <si>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</si>
  <si>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М</t>
  </si>
  <si>
    <t>6,2</t>
  </si>
  <si>
    <t>37,74</t>
  </si>
  <si>
    <t>2,0757</t>
  </si>
  <si>
    <t>0,99</t>
  </si>
  <si>
    <t>0,05445</t>
  </si>
  <si>
    <t>Приказ № 812/пр от 21.12.2020 Прил. п.15, Приказ № 812/пр от 21.12.2020 п.25</t>
  </si>
  <si>
    <t>100</t>
  </si>
  <si>
    <t>0,9</t>
  </si>
  <si>
    <t>Приказ № 774/пр от 11.12.2020 Прил. п.15, Приказ № 774/пр от 11.12.2020 п.16</t>
  </si>
  <si>
    <t>0,85</t>
  </si>
  <si>
    <t>41,65</t>
  </si>
  <si>
    <t>ТССЦ-04.3.02.05-0004</t>
  </si>
  <si>
    <t>Смесь штукатурная на основе гипса быстротвердеющая, безусадочная, звукоизолирующая, теплосберегающая "БИРСС 60" (марка М50), для ручного нанесения</t>
  </si>
  <si>
    <t>0,049555</t>
  </si>
  <si>
    <t>ТССЦ-14.3.01.02-0103</t>
  </si>
  <si>
    <t>Грунтовка воднодисперсионная CERESIT CT 17</t>
  </si>
  <si>
    <t>л</t>
  </si>
  <si>
    <t>0,715</t>
  </si>
  <si>
    <t>Объем=5,5*0,13</t>
  </si>
  <si>
    <t>ТЕР15-04-007-02</t>
  </si>
  <si>
    <t>3,465</t>
  </si>
  <si>
    <t>0,18</t>
  </si>
  <si>
    <t>0,0099</t>
  </si>
  <si>
    <t>ТССЦ-14.3.02.01-0026</t>
  </si>
  <si>
    <t>Краска акриловая: АКВА ВД-АК-11</t>
  </si>
  <si>
    <t>0,001815</t>
  </si>
  <si>
    <t>1,21</t>
  </si>
  <si>
    <t>Объем=0,00121*1000</t>
  </si>
  <si>
    <t>ТЕР15-04-006-03</t>
  </si>
  <si>
    <t>Объем=(16,77) / 100</t>
  </si>
  <si>
    <t>6,55</t>
  </si>
  <si>
    <t>1,677455</t>
  </si>
  <si>
    <t>0,02</t>
  </si>
  <si>
    <t>0,005122</t>
  </si>
  <si>
    <t>3,3293</t>
  </si>
  <si>
    <t>Объем=0,0033293*1000</t>
  </si>
  <si>
    <t>ТЕР15-02-019-03</t>
  </si>
  <si>
    <t>Объем=16,77 / 100</t>
  </si>
  <si>
    <t>Объем=25,61 / 100</t>
  </si>
  <si>
    <t>32,49</t>
  </si>
  <si>
    <t>8,320689</t>
  </si>
  <si>
    <t>0,93</t>
  </si>
  <si>
    <t>0,238173</t>
  </si>
  <si>
    <t>ТЕР15-02-019-07</t>
  </si>
  <si>
    <t>Сплошное выравнивание внутренних поверхностей (однослойное оштукатуривание) из сухих растворных смесей: на каждый 1 мм изменения толщины слоя добавлять или исключать к расценке 15-02-019-03</t>
  </si>
  <si>
    <t>до 15 мм ПЗ=5 (ОЗП=5; ЭМ=5 к расх.; ЗПМ=5; МАТ=5 к расх.; ТЗ=5; ТЗМ=5)</t>
  </si>
  <si>
    <t>3,1</t>
  </si>
  <si>
    <t>3,96955</t>
  </si>
  <si>
    <t>0,09</t>
  </si>
  <si>
    <t>0,115245</t>
  </si>
  <si>
    <t>ТССЦ-14.3.01.01-0001</t>
  </si>
  <si>
    <t>Грунтовка: «Бетоконтакт», КНАУФ</t>
  </si>
  <si>
    <t>Объем=0,1677*33</t>
  </si>
  <si>
    <t>Объем=0,2561*33</t>
  </si>
  <si>
    <t>ТССЦ-04.3.02.12-0006</t>
  </si>
  <si>
    <t>Смесь штукатурная "БИРСС 22" (марка М100)</t>
  </si>
  <si>
    <t>0,326528</t>
  </si>
  <si>
    <t>Объем=0,217685+0,1088425</t>
  </si>
  <si>
    <t>ТЕР15-04-007-01</t>
  </si>
  <si>
    <t>Объем=(12) / 100</t>
  </si>
  <si>
    <t>Объем=(15,01-5,5) / 100</t>
  </si>
  <si>
    <t>43,56</t>
  </si>
  <si>
    <t>4,142556</t>
  </si>
  <si>
    <t>0,17</t>
  </si>
  <si>
    <t>0,016167</t>
  </si>
  <si>
    <t>ТССЦ-14.3.02.01-0308</t>
  </si>
  <si>
    <t>Краска универсальная на акриловой основе, марка "Caparol Amphibolin"</t>
  </si>
  <si>
    <t>2,853</t>
  </si>
  <si>
    <t>Объем=0,002853*1000</t>
  </si>
  <si>
    <t>1,902</t>
  </si>
  <si>
    <t>Объем=0,001902*1000</t>
  </si>
  <si>
    <t>ТЕР15-01-019-05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</si>
  <si>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</si>
  <si>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Объем=10,8 / 100</t>
  </si>
  <si>
    <t>Объем=16,1 / 100</t>
  </si>
  <si>
    <t>159,67</t>
  </si>
  <si>
    <t>25,70687</t>
  </si>
  <si>
    <t>1,65</t>
  </si>
  <si>
    <t>0,26565</t>
  </si>
  <si>
    <t>ТССЦ-06.2.01.02-0016</t>
  </si>
  <si>
    <r>
      <t xml:space="preserve">Плитки керамические глазурованные для внутренней облицовки стен: гладкие цветные декорированные методом сериографии с рисунком многоцветные без завала                                               </t>
    </r>
    <r>
      <rPr>
        <sz val="8"/>
        <color rgb="FF000000"/>
        <rFont val="Arial"/>
        <family val="2"/>
        <charset val="204"/>
      </rPr>
      <t>Объем = 10,8*1,05</t>
    </r>
  </si>
  <si>
    <t>Плитки керамические глазурованные для внутренней облицовки стен: гладкие цветные декорированные методом сериографии с рисунком многоцветные без завала</t>
  </si>
  <si>
    <t>ТССЦ-14.1.06.02-0001</t>
  </si>
  <si>
    <t>Клей для облицовочных работ водостойкий «Плюс» (сухая смесь)</t>
  </si>
  <si>
    <t>0,060375</t>
  </si>
  <si>
    <t>ТССЦ-04.3.02.09-0102</t>
  </si>
  <si>
    <t>Затирка «Старатели» (разной цветности)</t>
  </si>
  <si>
    <t>0,00805</t>
  </si>
  <si>
    <t>ТЕР11-01-011-01</t>
  </si>
  <si>
    <t>39,51</t>
  </si>
  <si>
    <t>2,17305</t>
  </si>
  <si>
    <t>1,27</t>
  </si>
  <si>
    <t>0,06985</t>
  </si>
  <si>
    <t>Приказ № 812/пр от 21.12.2020 Прил. п.11, Приказ № 812/пр от 21.12.2020 п.25</t>
  </si>
  <si>
    <t>112</t>
  </si>
  <si>
    <t>100,8</t>
  </si>
  <si>
    <t>Приказ № 774/пр от 11.12.2020 Прил. п.11, Приказ № 774/пр от 11.12.2020 п.16</t>
  </si>
  <si>
    <t>55,25</t>
  </si>
  <si>
    <t>ТЕР11-01-011-02</t>
  </si>
  <si>
    <t>Устройство стяжек: на каждые 5 мм изменения толщины стяжки добавлять или исключать к расценке 11-01-011-01 (до 50 мм)</t>
  </si>
  <si>
    <t>до 60 мм ПЗ=6 (ОЗП=6; ЭМ=6 к расх.; ЗПМ=6; МАТ=6 к расх.; ТЗ=6; ТЗМ=6)</t>
  </si>
  <si>
    <t>0,5</t>
  </si>
  <si>
    <t>0,3366</t>
  </si>
  <si>
    <t>0,21</t>
  </si>
  <si>
    <t>0,141372</t>
  </si>
  <si>
    <t>ТССЦ-04.3.01.09-0014</t>
  </si>
  <si>
    <t>Раствор готовый кладочный цементный марки: 100</t>
  </si>
  <si>
    <t>Объем=1,84*0,1</t>
  </si>
  <si>
    <t>Объем=0,1122+0,343332</t>
  </si>
  <si>
    <t>ТЕР11-01-027-06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</si>
  <si>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</si>
  <si>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119,78</t>
  </si>
  <si>
    <t>6,5879</t>
  </si>
  <si>
    <t>4,5</t>
  </si>
  <si>
    <t>0,2475</t>
  </si>
  <si>
    <t>Освещение</t>
  </si>
  <si>
    <t>ТЕРм08-03-593-17</t>
  </si>
  <si>
    <t>Кронштейны со светильниками по: стенам и потолкам</t>
  </si>
  <si>
    <t>91,2</t>
  </si>
  <si>
    <t>0,4</t>
  </si>
  <si>
    <t>0,008</t>
  </si>
  <si>
    <t>Приказ № 812/пр от 21.12.2020 Прил. п.49.3</t>
  </si>
  <si>
    <t>НР Электротехнические установки на других объектах</t>
  </si>
  <si>
    <t>97</t>
  </si>
  <si>
    <t>Приказ № 774/пр от 11.12.2020 Прил. п.49.3</t>
  </si>
  <si>
    <t>СП Электротехнические установки на других объектах</t>
  </si>
  <si>
    <t>Цена поставщика</t>
  </si>
  <si>
    <t>Светильник светодиодный 600х600 мм</t>
  </si>
  <si>
    <t>Цена=1900/6,2/1,2</t>
  </si>
  <si>
    <t>ТЕРм08-03-591-02</t>
  </si>
  <si>
    <t>Выключатель: одноклавишный утопленного типа при скрытой проводке</t>
  </si>
  <si>
    <t>25,76</t>
  </si>
  <si>
    <t>0,2576</t>
  </si>
  <si>
    <t>0,05</t>
  </si>
  <si>
    <t>0,0005</t>
  </si>
  <si>
    <t>ТССЦ-20.4.01.02-0021</t>
  </si>
  <si>
    <t>Выключатель одноклавишный для скрытой проводки</t>
  </si>
  <si>
    <t>0,1</t>
  </si>
  <si>
    <t>Объем=1 / 10</t>
  </si>
  <si>
    <t>Сантехническое оборудование</t>
  </si>
  <si>
    <t>ТЕРр65-6-12</t>
  </si>
  <si>
    <t>Смена: унитазов типа "Компакт"</t>
  </si>
  <si>
    <t>412,7</t>
  </si>
  <si>
    <t>4,127</t>
  </si>
  <si>
    <t>1,5</t>
  </si>
  <si>
    <t>0,015</t>
  </si>
  <si>
    <t>Приказ № 812/пр от 21.12.2020 Прил. п.99.2</t>
  </si>
  <si>
    <t>Приказ № 774/пр от 11.12.2020 Прил. п.99.2</t>
  </si>
  <si>
    <t>ТССЦ-18.2.01.06-0001</t>
  </si>
  <si>
    <t>Унитаз-компакт «Комфорт»</t>
  </si>
  <si>
    <t>компл.</t>
  </si>
  <si>
    <t>ТЕРр65-6-24</t>
  </si>
  <si>
    <t>212</t>
  </si>
  <si>
    <t>2,12</t>
  </si>
  <si>
    <t>1,4</t>
  </si>
  <si>
    <t>0,014</t>
  </si>
  <si>
    <t>ТССЦ-18.2.01.05-0069</t>
  </si>
  <si>
    <t>Умывальники полуфарфоровые и фарфоровые с кронштейнами, сифоном бутылочным латунным и выпуском,: полукруглые со скрытыми установочными поверхностями без спинки, размером 600х450х150 мм</t>
  </si>
  <si>
    <t>ТССЦ-18.2.06.12-0021</t>
  </si>
  <si>
    <t>Пьедесталы для умывальников полуфарфоровые и фарфоровые размером 640х215х200, 670-630х240-180, 200-175 мм</t>
  </si>
  <si>
    <t>ТЕРр65-5-7</t>
  </si>
  <si>
    <t>Смена смесителей: без душевой сетки</t>
  </si>
  <si>
    <t>200</t>
  </si>
  <si>
    <t>0,0009</t>
  </si>
  <si>
    <t>ТССЦ-18.1.10.10-0044</t>
  </si>
  <si>
    <t>Смесители для умывальников: СМ-УМ-ОРА с поворотным корпусом, одной рукояткой, с аэратором</t>
  </si>
  <si>
    <t xml:space="preserve">  ВСЕГО по смете</t>
  </si>
  <si>
    <t xml:space="preserve">Текущий ремонт санузлов в МБДОУ ДС №4 Лютик, 297407, Республика Крым, город Евпатория, Советская ул., д. 9 </t>
  </si>
  <si>
    <t>Итоги по разделу:</t>
  </si>
  <si>
    <t>Раздел 1. Группа Маргаритка</t>
  </si>
  <si>
    <t>ВСЕГО поразделу: Группа Маргаритка</t>
  </si>
  <si>
    <t>Раздел 2. Группа Лилия</t>
  </si>
  <si>
    <t>66</t>
  </si>
  <si>
    <t>67</t>
  </si>
  <si>
    <t>68</t>
  </si>
  <si>
    <t>ВСЕГО по разделу Группа Лилия</t>
  </si>
  <si>
    <t>Раздел 3. Группа Розочка</t>
  </si>
  <si>
    <t>Свсего по разделу Группа Розочка</t>
  </si>
  <si>
    <t>480788,96</t>
  </si>
  <si>
    <t>ВСЕГО по разделу группа Ромашка</t>
  </si>
  <si>
    <t>ВСЕГО по разделу группа Тюльпанчик</t>
  </si>
  <si>
    <t>ВСЕГО поразделу группа Колокольчик</t>
  </si>
  <si>
    <t xml:space="preserve">  ВСЕГО по разделу Туалет сотрудников</t>
  </si>
  <si>
    <t>Раздел 8. Группа Фиалка</t>
  </si>
  <si>
    <t>Всего по разделу: Группа Фиалка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</si>
  <si>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</si>
  <si>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</si>
  <si>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</si>
  <si>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</si>
  <si>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</si>
  <si>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</si>
  <si>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</si>
  <si>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</si>
  <si>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</si>
  <si>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</si>
  <si>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</si>
  <si>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</si>
  <si>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</si>
  <si>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</si>
  <si>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</si>
  <si>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</si>
  <si>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</si>
  <si>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</si>
  <si>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</si>
  <si>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</si>
  <si>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92</t>
  </si>
  <si>
    <t>93</t>
  </si>
  <si>
    <t>94</t>
  </si>
  <si>
    <t>95</t>
  </si>
  <si>
    <t>96</t>
  </si>
  <si>
    <t>98</t>
  </si>
  <si>
    <t>99</t>
  </si>
  <si>
    <t>101</t>
  </si>
  <si>
    <t>102</t>
  </si>
  <si>
    <t>104</t>
  </si>
  <si>
    <t>105</t>
  </si>
  <si>
    <t>106</t>
  </si>
  <si>
    <t>107</t>
  </si>
  <si>
    <t>108</t>
  </si>
  <si>
    <t>109</t>
  </si>
  <si>
    <t>110</t>
  </si>
  <si>
    <t>111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</si>
  <si>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</si>
  <si>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</si>
  <si>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</si>
  <si>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</si>
  <si>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</si>
  <si>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</si>
  <si>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</si>
  <si>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</si>
  <si>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</si>
  <si>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</si>
  <si>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</si>
  <si>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</si>
  <si>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</si>
  <si>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</si>
  <si>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</si>
  <si>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</si>
  <si>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</si>
  <si>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</si>
  <si>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</si>
  <si>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</si>
  <si>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</si>
  <si>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</si>
  <si>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</si>
  <si>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</si>
  <si>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</si>
  <si>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</si>
  <si>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</si>
  <si>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</si>
  <si>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</si>
  <si>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</si>
  <si>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</si>
  <si>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</si>
  <si>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</si>
  <si>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</si>
  <si>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</si>
  <si>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</si>
  <si>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179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</si>
  <si>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</si>
  <si>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</si>
  <si>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</si>
  <si>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</si>
  <si>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</si>
  <si>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</si>
  <si>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</si>
  <si>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</si>
  <si>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</si>
  <si>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</si>
  <si>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</si>
  <si>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</si>
  <si>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</si>
  <si>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</si>
  <si>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</si>
  <si>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</si>
  <si>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</si>
  <si>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</si>
  <si>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</si>
  <si>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</si>
  <si>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</si>
  <si>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</si>
  <si>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</si>
  <si>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</si>
  <si>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</si>
  <si>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</si>
  <si>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</si>
  <si>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</si>
  <si>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</si>
  <si>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</si>
  <si>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</si>
  <si>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</si>
  <si>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</si>
  <si>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</si>
  <si>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</si>
  <si>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</si>
  <si>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</si>
  <si>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</si>
  <si>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</si>
  <si>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</si>
  <si>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</si>
  <si>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</si>
  <si>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</si>
  <si>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</si>
  <si>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</si>
  <si>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</si>
  <si>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</si>
  <si>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</si>
  <si>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</si>
  <si>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</si>
  <si>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</si>
  <si>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</si>
  <si>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</si>
  <si>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</si>
  <si>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</si>
  <si>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</si>
  <si>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</si>
  <si>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</si>
  <si>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</si>
  <si>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</si>
  <si>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</si>
  <si>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</si>
  <si>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</si>
  <si>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</si>
  <si>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</si>
  <si>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</si>
  <si>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</si>
  <si>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</si>
  <si>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</si>
  <si>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</si>
  <si>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</si>
  <si>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</si>
  <si>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</si>
  <si>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</si>
  <si>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</si>
  <si>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</si>
  <si>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</si>
  <si>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</si>
  <si>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</si>
  <si>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</si>
  <si>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</si>
  <si>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</si>
  <si>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</si>
  <si>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</si>
  <si>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</si>
  <si>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</si>
  <si>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</si>
  <si>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</si>
  <si>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</si>
  <si>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</si>
  <si>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</si>
  <si>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</si>
  <si>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</si>
  <si>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</si>
  <si>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</si>
  <si>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</si>
  <si>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</si>
  <si>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</si>
  <si>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</si>
  <si>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</si>
  <si>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</si>
  <si>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</si>
  <si>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</si>
  <si>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</si>
  <si>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</si>
  <si>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</si>
  <si>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</si>
  <si>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</si>
  <si>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</si>
  <si>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</si>
  <si>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</si>
  <si>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</si>
  <si>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</si>
  <si>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</si>
  <si>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</si>
  <si>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</si>
  <si>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</si>
  <si>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</si>
  <si>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</si>
  <si>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</si>
  <si>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</si>
  <si>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</si>
  <si>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</si>
  <si>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</si>
  <si>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</si>
  <si>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</si>
  <si>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</si>
  <si>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</si>
  <si>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</si>
  <si>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</si>
  <si>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</si>
  <si>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</si>
  <si>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</si>
  <si>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</si>
  <si>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</si>
  <si>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</si>
  <si>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</si>
  <si>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</si>
  <si>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</si>
  <si>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</si>
  <si>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</si>
  <si>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</si>
  <si>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</si>
  <si>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</si>
  <si>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</si>
  <si>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</si>
  <si>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</si>
  <si>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</si>
  <si>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</si>
  <si>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</si>
  <si>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</si>
  <si>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</si>
  <si>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</si>
  <si>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</si>
  <si>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</si>
  <si>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</si>
  <si>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</si>
  <si>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</si>
  <si>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</si>
  <si>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</si>
  <si>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</si>
  <si>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</si>
  <si>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</si>
  <si>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</si>
  <si>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</si>
  <si>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</si>
  <si>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</si>
  <si>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</si>
  <si>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</si>
  <si>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</si>
  <si>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</si>
  <si>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</si>
  <si>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</si>
  <si>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</si>
  <si>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</si>
  <si>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</si>
  <si>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</si>
  <si>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</si>
  <si>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</si>
  <si>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</si>
  <si>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</si>
  <si>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</si>
  <si>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</si>
  <si>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</si>
  <si>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</si>
  <si>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</si>
  <si>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</si>
  <si>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</si>
  <si>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</si>
  <si>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</si>
  <si>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</si>
  <si>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</si>
  <si>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</si>
  <si>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</si>
  <si>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</si>
  <si>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</si>
  <si>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</si>
  <si>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</si>
  <si>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</si>
  <si>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</si>
  <si>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</si>
  <si>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</si>
  <si>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</si>
  <si>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</si>
  <si>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</si>
  <si>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</si>
  <si>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</si>
  <si>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</si>
  <si>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</si>
  <si>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</si>
  <si>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</si>
  <si>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</si>
  <si>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</si>
  <si>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</si>
  <si>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</si>
  <si>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</si>
  <si>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</si>
  <si>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</si>
  <si>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</si>
  <si>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</si>
  <si>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</si>
  <si>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</si>
  <si>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</si>
  <si>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</si>
  <si>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</si>
  <si>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</si>
  <si>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</si>
  <si>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</si>
  <si>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</si>
  <si>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</si>
  <si>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</si>
  <si>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</si>
  <si>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</si>
  <si>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</si>
  <si>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</si>
  <si>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</si>
  <si>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</si>
  <si>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</si>
  <si>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</si>
  <si>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</si>
  <si>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</si>
  <si>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</si>
  <si>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</si>
  <si>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</si>
  <si>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</si>
  <si>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</si>
  <si>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</si>
  <si>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</si>
  <si>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</si>
  <si>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</si>
  <si>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</si>
  <si>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</si>
  <si>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</si>
  <si>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</si>
  <si>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</si>
  <si>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</si>
  <si>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</si>
  <si>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</si>
  <si>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</si>
  <si>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</si>
  <si>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</si>
  <si>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</si>
  <si>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</si>
  <si>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</si>
  <si>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</si>
  <si>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</si>
  <si>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</si>
  <si>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</si>
  <si>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</si>
  <si>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</si>
  <si>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</si>
  <si>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</si>
  <si>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</si>
  <si>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</si>
  <si>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</si>
  <si>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</si>
  <si>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</si>
  <si>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</si>
  <si>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</si>
  <si>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</si>
  <si>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</si>
  <si>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</si>
  <si>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 xml:space="preserve">ЛОКАЛЬНЫЙ СМЕТНЫЙ РАСЧЕТ (СМЕТА) № ЛС-02-01-01 </t>
  </si>
  <si>
    <t>накладные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</si>
</sst>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0000"/>
    <numFmt numFmtId="166" formatCode="0.000"/>
    <numFmt numFmtId="167" formatCode="0.0"/>
    <numFmt numFmtId="168" formatCode="0.000000"/>
    <numFmt numFmtId="169" formatCode="0.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b/>
      <i/>
      <sz val="8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8" fillId="0" borderId="0" xfId="0" applyFont="1"/>
    <xf numFmtId="49" fontId="3" fillId="0" borderId="7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2" fontId="3" fillId="0" borderId="8" xfId="0" applyNumberFormat="1" applyFont="1" applyBorder="1" applyAlignment="1">
      <alignment horizontal="right" vertical="top" wrapText="1"/>
    </xf>
    <xf numFmtId="166" fontId="4" fillId="0" borderId="2" xfId="0" applyNumberFormat="1" applyFont="1" applyBorder="1" applyAlignment="1">
      <alignment horizontal="center" vertical="top" wrapText="1"/>
    </xf>
    <xf numFmtId="167" fontId="4" fillId="0" borderId="2" xfId="0" applyNumberFormat="1" applyFont="1" applyBorder="1" applyAlignment="1">
      <alignment horizontal="center" vertical="top" wrapText="1"/>
    </xf>
    <xf numFmtId="168" fontId="4" fillId="0" borderId="2" xfId="0" applyNumberFormat="1" applyFont="1" applyBorder="1" applyAlignment="1">
      <alignment horizontal="center" vertical="top" wrapText="1"/>
    </xf>
    <xf numFmtId="169" fontId="4" fillId="0" borderId="2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9" fontId="4" fillId="0" borderId="0" xfId="0" applyNumberFormat="1" applyFont="1" applyAlignment="1">
      <alignment horizontal="right" vertical="top" wrapText="1"/>
    </xf>
    <xf numFmtId="0" fontId="4" fillId="0" borderId="8" xfId="0" applyFont="1" applyBorder="1" applyAlignment="1">
      <alignment horizontal="right" vertical="top"/>
    </xf>
    <xf numFmtId="4" fontId="4" fillId="0" borderId="8" xfId="0" applyNumberFormat="1" applyFont="1" applyBorder="1" applyAlignment="1">
      <alignment horizontal="right" vertical="top"/>
    </xf>
    <xf numFmtId="49" fontId="3" fillId="0" borderId="0" xfId="0" applyNumberFormat="1" applyFont="1" applyBorder="1" applyAlignment="1">
      <alignment vertical="top"/>
    </xf>
    <xf numFmtId="0" fontId="9" fillId="0" borderId="0" xfId="0" applyFont="1"/>
    <xf numFmtId="49" fontId="3" fillId="0" borderId="0" xfId="0" applyNumberFormat="1" applyFont="1" applyBorder="1"/>
    <xf numFmtId="0" fontId="3" fillId="0" borderId="0" xfId="0" applyFont="1" applyBorder="1" applyAlignment="1">
      <alignment horizontal="right" vertical="top"/>
    </xf>
    <xf numFmtId="0" fontId="0" fillId="0" borderId="0" xfId="0" applyBorder="1"/>
    <xf numFmtId="0" fontId="3" fillId="0" borderId="0" xfId="0" applyFont="1" applyBorder="1" applyAlignment="1">
      <alignment vertical="top"/>
    </xf>
    <xf numFmtId="49" fontId="1" fillId="0" borderId="0" xfId="0" applyNumberFormat="1" applyFont="1" applyBorder="1"/>
    <xf numFmtId="49" fontId="3" fillId="0" borderId="0" xfId="0" applyNumberFormat="1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49" fontId="1" fillId="0" borderId="0" xfId="0" applyNumberFormat="1" applyFont="1" applyBorder="1" applyAlignment="1">
      <alignment vertical="top" wrapText="1"/>
    </xf>
    <xf numFmtId="4" fontId="4" fillId="0" borderId="6" xfId="0" applyNumberFormat="1" applyFont="1" applyBorder="1" applyAlignment="1">
      <alignment horizontal="right" vertical="top"/>
    </xf>
    <xf numFmtId="4" fontId="4" fillId="0" borderId="12" xfId="0" applyNumberFormat="1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10" fillId="0" borderId="0" xfId="0" applyNumberFormat="1" applyFont="1" applyBorder="1"/>
    <xf numFmtId="49" fontId="10" fillId="0" borderId="0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center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4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0" borderId="2" xfId="0" applyFont="1" applyFill="1" applyBorder="1" applyAlignment="1">
      <alignment horizontal="righ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10" fillId="0" borderId="0" xfId="0" applyNumberFormat="1" applyFont="1" applyBorder="1" applyAlignment="1"/>
    <xf numFmtId="0" fontId="11" fillId="0" borderId="0" xfId="0" applyFont="1" applyBorder="1" applyAlignment="1"/>
    <xf numFmtId="49" fontId="4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3" fillId="0" borderId="0" xfId="0" applyFont="1" applyBorder="1"/>
    <xf numFmtId="49" fontId="4" fillId="0" borderId="0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1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49" fontId="1" fillId="0" borderId="0" xfId="0" applyNumberFormat="1" applyFont="1" applyBorder="1" applyAlignment="1">
      <alignment horizontal="right" vertical="top" wrapText="1"/>
    </xf>
    <xf numFmtId="49" fontId="4" fillId="0" borderId="0" xfId="0" applyNumberFormat="1" applyFont="1" applyBorder="1" applyAlignment="1">
      <alignment vertical="top" wrapText="1"/>
    </xf>
    <xf numFmtId="4" fontId="4" fillId="0" borderId="0" xfId="0" applyNumberFormat="1" applyFont="1" applyBorder="1" applyAlignment="1">
      <alignment horizontal="right" vertical="top" wrapText="1"/>
    </xf>
    <xf numFmtId="0" fontId="8" fillId="0" borderId="0" xfId="0" applyFont="1" applyBorder="1"/>
    <xf numFmtId="49" fontId="3" fillId="0" borderId="0" xfId="0" applyNumberFormat="1" applyFont="1" applyBorder="1" applyAlignment="1">
      <alignment horizontal="right" vertical="top" wrapText="1"/>
    </xf>
    <xf numFmtId="49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right" vertical="top"/>
    </xf>
    <xf numFmtId="4" fontId="3" fillId="0" borderId="0" xfId="0" applyNumberFormat="1" applyFont="1" applyBorder="1" applyAlignment="1">
      <alignment horizontal="right" vertical="top" wrapText="1"/>
    </xf>
    <xf numFmtId="1" fontId="3" fillId="0" borderId="0" xfId="0" applyNumberFormat="1" applyFont="1" applyBorder="1" applyAlignment="1">
      <alignment horizontal="center" vertical="top" wrapText="1"/>
    </xf>
    <xf numFmtId="0" fontId="9" fillId="0" borderId="0" xfId="0" applyFont="1" applyBorder="1"/>
    <xf numFmtId="164" fontId="4" fillId="0" borderId="0" xfId="0" applyNumberFormat="1" applyFont="1" applyBorder="1" applyAlignment="1">
      <alignment horizontal="center" vertical="top" wrapText="1"/>
    </xf>
    <xf numFmtId="2" fontId="4" fillId="0" borderId="0" xfId="0" applyNumberFormat="1" applyFont="1" applyBorder="1" applyAlignment="1">
      <alignment horizontal="right" vertical="top" wrapText="1"/>
    </xf>
    <xf numFmtId="2" fontId="4" fillId="0" borderId="0" xfId="0" applyNumberFormat="1" applyFont="1" applyBorder="1" applyAlignment="1">
      <alignment horizontal="center" vertical="top" wrapText="1"/>
    </xf>
    <xf numFmtId="165" fontId="4" fillId="0" borderId="0" xfId="0" applyNumberFormat="1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right" vertical="top" wrapText="1"/>
    </xf>
    <xf numFmtId="166" fontId="4" fillId="0" borderId="0" xfId="0" applyNumberFormat="1" applyFont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49" fontId="4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vertical="top" wrapText="1"/>
    </xf>
    <xf numFmtId="167" fontId="4" fillId="0" borderId="0" xfId="0" applyNumberFormat="1" applyFont="1" applyBorder="1" applyAlignment="1">
      <alignment horizontal="center" vertical="top" wrapText="1"/>
    </xf>
    <xf numFmtId="168" fontId="4" fillId="0" borderId="0" xfId="0" applyNumberFormat="1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top" wrapText="1"/>
    </xf>
    <xf numFmtId="169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right" vertical="top" wrapText="1"/>
    </xf>
    <xf numFmtId="0" fontId="2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0" fillId="2" borderId="0" xfId="0" applyFill="1" applyBorder="1"/>
    <xf numFmtId="0" fontId="3" fillId="2" borderId="0" xfId="0" applyFont="1" applyFill="1" applyBorder="1" applyAlignment="1">
      <alignment vertical="top"/>
    </xf>
    <xf numFmtId="0" fontId="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5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3" fontId="4" fillId="0" borderId="6" xfId="0" applyNumberFormat="1" applyFont="1" applyFill="1" applyBorder="1" applyAlignment="1" applyProtection="1">
      <alignment horizontal="right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3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3" fontId="1" fillId="0" borderId="6" xfId="0" applyNumberFormat="1" applyFont="1" applyFill="1" applyBorder="1" applyAlignment="1" applyProtection="1">
      <alignment horizontal="right" vertical="top" wrapText="1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1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vertical="center" wrapText="1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0" xfId="0" applyNumberFormat="1" applyFont="1" applyFill="1" applyBorder="1" applyAlignment="1" applyProtection="1">
      <alignment vertical="top"/>
    </xf>
    <xf numFmtId="2" fontId="1" fillId="0" borderId="0" xfId="0" applyNumberFormat="1" applyFont="1" applyFill="1" applyBorder="1" applyAlignment="1" applyProtection="1">
      <alignment vertical="top"/>
    </xf>
    <xf numFmtId="3" fontId="1" fillId="0" borderId="0" xfId="0" applyNumberFormat="1" applyFont="1" applyFill="1" applyBorder="1" applyAlignment="1" applyProtection="1">
      <alignment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left" vertical="top" wrapText="1"/>
    </xf>
    <xf numFmtId="4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0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4" fontId="4" fillId="0" borderId="10" xfId="0" applyNumberFormat="1" applyFont="1" applyBorder="1" applyAlignment="1">
      <alignment horizontal="right" vertical="top"/>
    </xf>
    <xf numFmtId="49" fontId="4" fillId="0" borderId="11" xfId="0" applyNumberFormat="1" applyFont="1" applyBorder="1" applyAlignment="1">
      <alignment horizontal="left" vertical="top" wrapText="1"/>
    </xf>
    <xf numFmtId="49" fontId="4" fillId="3" borderId="11" xfId="0" applyNumberFormat="1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49" fontId="4" fillId="4" borderId="11" xfId="0" applyNumberFormat="1" applyFont="1" applyFill="1" applyBorder="1" applyAlignment="1">
      <alignment horizontal="left" vertical="center" wrapText="1"/>
    </xf>
    <xf numFmtId="49" fontId="4" fillId="4" borderId="3" xfId="0" applyNumberFormat="1" applyFont="1" applyFill="1" applyBorder="1" applyAlignment="1">
      <alignment horizontal="left" vertical="center" wrapText="1"/>
    </xf>
    <xf numFmtId="49" fontId="4" fillId="4" borderId="12" xfId="0" applyNumberFormat="1" applyFont="1" applyFill="1" applyBorder="1" applyAlignment="1">
      <alignment horizontal="left" vertical="center" wrapText="1"/>
    </xf>
    <xf numFmtId="0" fontId="2" fillId="5" borderId="0" xfId="0" applyFont="1" applyFill="1" applyBorder="1"/>
    <xf numFmtId="0" fontId="0" fillId="5" borderId="0" xfId="0" applyFill="1" applyBorder="1"/>
    <xf numFmtId="0" fontId="3" fillId="5" borderId="0" xfId="0" applyFont="1" applyFill="1" applyBorder="1" applyAlignment="1">
      <alignment wrapText="1"/>
    </xf>
    <xf numFmtId="0" fontId="3" fillId="5" borderId="0" xfId="0" applyFont="1" applyFill="1" applyBorder="1"/>
    <xf numFmtId="49" fontId="4" fillId="5" borderId="11" xfId="0" applyNumberFormat="1" applyFont="1" applyFill="1" applyBorder="1" applyAlignment="1">
      <alignment horizontal="left" vertical="center" wrapText="1"/>
    </xf>
    <xf numFmtId="49" fontId="4" fillId="5" borderId="3" xfId="0" applyNumberFormat="1" applyFont="1" applyFill="1" applyBorder="1" applyAlignment="1">
      <alignment horizontal="left" vertical="center" wrapText="1"/>
    </xf>
    <xf numFmtId="49" fontId="4" fillId="5" borderId="12" xfId="0" applyNumberFormat="1" applyFont="1" applyFill="1" applyBorder="1" applyAlignment="1">
      <alignment horizontal="right" vertical="center" wrapText="1"/>
    </xf>
    <xf numFmtId="0" fontId="12" fillId="3" borderId="3" xfId="0" applyNumberFormat="1" applyFont="1" applyFill="1" applyBorder="1" applyAlignment="1" applyProtection="1">
      <alignment horizontal="left" vertical="center" wrapText="1"/>
    </xf>
    <xf numFmtId="0" fontId="1" fillId="3" borderId="3" xfId="0" applyNumberFormat="1" applyFont="1" applyFill="1" applyBorder="1" applyAlignment="1" applyProtection="1"/>
    <xf numFmtId="0" fontId="4" fillId="0" borderId="11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2" fontId="4" fillId="0" borderId="12" xfId="0" applyNumberFormat="1" applyFont="1" applyFill="1" applyBorder="1" applyAlignment="1" applyProtection="1"/>
    <xf numFmtId="49" fontId="1" fillId="0" borderId="9" xfId="0" applyNumberFormat="1" applyFont="1" applyBorder="1"/>
    <xf numFmtId="49" fontId="4" fillId="0" borderId="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right" vertical="top"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vertical="top"/>
    </xf>
    <xf numFmtId="49" fontId="13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wrapText="1"/>
    </xf>
    <xf numFmtId="49" fontId="13" fillId="0" borderId="0" xfId="0" applyNumberFormat="1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14" fillId="0" borderId="0" xfId="0" applyFont="1"/>
    <xf numFmtId="0" fontId="7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3" borderId="12" xfId="0" applyNumberFormat="1" applyFont="1" applyFill="1" applyBorder="1" applyAlignment="1" applyProtection="1"/>
    <xf numFmtId="0" fontId="4" fillId="0" borderId="8" xfId="0" applyNumberFormat="1" applyFont="1" applyFill="1" applyBorder="1" applyAlignment="1" applyProtection="1"/>
    <xf numFmtId="0" fontId="4" fillId="0" borderId="8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/>
    <xf numFmtId="0" fontId="4" fillId="0" borderId="10" xfId="0" applyNumberFormat="1" applyFont="1" applyFill="1" applyBorder="1" applyAlignment="1" applyProtection="1"/>
    <xf numFmtId="0" fontId="4" fillId="0" borderId="0" xfId="0" applyFont="1" applyBorder="1"/>
    <xf numFmtId="0" fontId="14" fillId="0" borderId="0" xfId="0" applyFont="1" applyBorder="1"/>
    <xf numFmtId="0" fontId="7" fillId="0" borderId="0" xfId="0" applyFont="1" applyBorder="1" applyAlignment="1">
      <alignment vertical="top"/>
    </xf>
    <xf numFmtId="49" fontId="4" fillId="0" borderId="0" xfId="0" applyNumberFormat="1" applyFont="1" applyBorder="1"/>
    <xf numFmtId="0" fontId="4" fillId="0" borderId="0" xfId="0" applyFont="1" applyBorder="1" applyAlignment="1">
      <alignment vertical="top"/>
    </xf>
    <xf numFmtId="0" fontId="4" fillId="0" borderId="0" xfId="0" applyFont="1"/>
    <xf numFmtId="49" fontId="4" fillId="0" borderId="5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2347"/>
  <sheetViews>
    <sheetView tabSelected="1" topLeftCell="A3" zoomScaleNormal="100" workbookViewId="0">
      <selection activeCell="K21" sqref="K2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297" customWidth="1"/>
    <col min="17" max="17" width="75.28515625" style="2" hidden="1" customWidth="1"/>
    <col min="18" max="18" width="126.5703125" style="2" hidden="1" customWidth="1"/>
    <col min="19" max="19" width="9.140625" style="1"/>
    <col min="20" max="27" width="0" style="1" hidden="1" customWidth="1"/>
    <col min="28" max="28" width="64.42578125" style="3" hidden="1" customWidth="1"/>
    <col min="29" max="29" width="58.42578125" style="3" hidden="1" customWidth="1"/>
    <col min="30" max="30" width="64.42578125" style="3" hidden="1" customWidth="1"/>
    <col min="31" max="31" width="58.42578125" style="3" hidden="1" customWidth="1"/>
    <col min="32" max="32" width="64.42578125" style="3" hidden="1" customWidth="1"/>
    <col min="33" max="33" width="58.42578125" style="3" hidden="1" customWidth="1"/>
    <col min="34" max="34" width="64.42578125" style="3" hidden="1" customWidth="1"/>
    <col min="35" max="35" width="58.42578125" style="3" hidden="1" customWidth="1"/>
    <col min="36" max="42" width="127.28515625" style="3" hidden="1" customWidth="1"/>
    <col min="43" max="45" width="203.42578125" style="3" hidden="1" customWidth="1"/>
    <col min="46" max="46" width="66.42578125" style="3" hidden="1" customWidth="1"/>
    <col min="47" max="47" width="45.7109375" style="3" hidden="1" customWidth="1"/>
    <col min="48" max="49" width="203.42578125" style="3" hidden="1" customWidth="1"/>
    <col min="50" max="53" width="51.85546875" style="3" hidden="1" customWidth="1"/>
    <col min="54" max="58" width="156" style="3" hidden="1" customWidth="1"/>
    <col min="59" max="59" width="84.28515625" style="3" hidden="1" customWidth="1"/>
    <col min="60" max="60" width="61.140625" style="3" hidden="1" customWidth="1"/>
    <col min="61" max="61" width="82" style="3" hidden="1" customWidth="1"/>
    <col min="62" max="62" width="61.140625" style="3" hidden="1" customWidth="1"/>
    <col min="63" max="63" width="82" style="3" hidden="1" customWidth="1"/>
    <col min="64" max="65" width="0" style="1" hidden="1" customWidth="1"/>
    <col min="66" max="67" width="9.140625" style="1"/>
    <col min="68" max="68" width="15.42578125" style="1" customWidth="1"/>
    <col min="69" max="16384" width="9.140625" style="1"/>
  </cols>
  <sheetData>
    <row r="1" spans="1:41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276" t="s">
        <v>0</v>
      </c>
    </row>
    <row r="2" spans="1:41" customFormat="1" ht="30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P2" s="276" t="s">
        <v>1</v>
      </c>
    </row>
    <row r="3" spans="1:41" customFormat="1" ht="1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P3" s="276"/>
    </row>
    <row r="4" spans="1:41" customFormat="1" ht="11.25" hidden="1" customHeight="1" x14ac:dyDescent="0.25">
      <c r="A4" s="133" t="s">
        <v>2</v>
      </c>
      <c r="B4" s="133"/>
      <c r="C4" s="133"/>
      <c r="D4" s="133"/>
      <c r="E4" s="133"/>
      <c r="F4" s="5"/>
      <c r="G4" s="5"/>
      <c r="H4" s="5"/>
      <c r="I4" s="5"/>
      <c r="L4" s="5"/>
      <c r="M4" s="133" t="s">
        <v>3</v>
      </c>
      <c r="N4" s="133"/>
      <c r="O4" s="133"/>
      <c r="P4" s="133"/>
    </row>
    <row r="5" spans="1:41" customFormat="1" ht="11.25" hidden="1" customHeight="1" x14ac:dyDescent="0.25">
      <c r="A5" s="101"/>
      <c r="B5" s="101"/>
      <c r="C5" s="101"/>
      <c r="D5" s="101"/>
      <c r="E5" s="101"/>
      <c r="F5" s="5"/>
      <c r="G5" s="5"/>
      <c r="H5" s="5"/>
      <c r="I5" s="5"/>
      <c r="M5" s="100"/>
      <c r="N5" s="100"/>
      <c r="O5" s="100"/>
      <c r="P5" s="100"/>
      <c r="AB5" s="3" t="s">
        <v>4</v>
      </c>
      <c r="AC5" s="3" t="s">
        <v>4</v>
      </c>
    </row>
    <row r="6" spans="1:41" customFormat="1" ht="11.25" hidden="1" customHeight="1" x14ac:dyDescent="0.25">
      <c r="A6" s="101"/>
      <c r="B6" s="101"/>
      <c r="C6" s="101"/>
      <c r="D6" s="101"/>
      <c r="E6" s="101"/>
      <c r="F6" s="5"/>
      <c r="G6" s="5"/>
      <c r="H6" s="5"/>
      <c r="I6" s="5"/>
      <c r="M6" s="100"/>
      <c r="N6" s="100"/>
      <c r="O6" s="100"/>
      <c r="P6" s="100"/>
      <c r="AD6" s="3" t="s">
        <v>4</v>
      </c>
      <c r="AE6" s="3" t="s">
        <v>4</v>
      </c>
    </row>
    <row r="7" spans="1:41" customFormat="1" ht="11.25" hidden="1" customHeight="1" x14ac:dyDescent="0.25">
      <c r="A7" s="135"/>
      <c r="B7" s="135"/>
      <c r="C7" s="135"/>
      <c r="D7" s="135"/>
      <c r="E7" s="135"/>
      <c r="F7" s="5"/>
      <c r="G7" s="5"/>
      <c r="H7" s="5"/>
      <c r="I7" s="5"/>
      <c r="L7" s="5"/>
      <c r="M7" s="135"/>
      <c r="N7" s="135"/>
      <c r="O7" s="135"/>
      <c r="P7" s="135"/>
      <c r="AF7" s="3" t="s">
        <v>4</v>
      </c>
      <c r="AG7" s="3" t="s">
        <v>4</v>
      </c>
    </row>
    <row r="8" spans="1:41" customFormat="1" ht="15" hidden="1" x14ac:dyDescent="0.25">
      <c r="A8" s="136" t="s">
        <v>5</v>
      </c>
      <c r="B8" s="136"/>
      <c r="C8" s="136"/>
      <c r="D8" s="136"/>
      <c r="E8" s="136"/>
      <c r="F8" s="5"/>
      <c r="G8" s="5"/>
      <c r="H8" s="5"/>
      <c r="I8" s="5"/>
      <c r="L8" s="5"/>
      <c r="M8" s="137" t="s">
        <v>5</v>
      </c>
      <c r="N8" s="137"/>
      <c r="O8" s="137"/>
      <c r="P8" s="137"/>
      <c r="AH8" s="3" t="s">
        <v>5</v>
      </c>
      <c r="AI8" s="3" t="s">
        <v>5</v>
      </c>
    </row>
    <row r="9" spans="1:41" customFormat="1" ht="21" hidden="1" customHeight="1" x14ac:dyDescent="0.25">
      <c r="A9" s="4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276"/>
    </row>
    <row r="10" spans="1:41" customFormat="1" ht="12.75" hidden="1" customHeight="1" x14ac:dyDescent="0.25">
      <c r="A10" s="104" t="s">
        <v>6</v>
      </c>
      <c r="B10" s="104"/>
      <c r="C10" s="104"/>
      <c r="D10" s="104"/>
      <c r="E10" s="104"/>
      <c r="F10" s="104"/>
      <c r="G10" s="138" t="s">
        <v>7</v>
      </c>
      <c r="H10" s="138"/>
      <c r="I10" s="138"/>
      <c r="J10" s="138"/>
      <c r="K10" s="138"/>
      <c r="L10" s="138"/>
      <c r="M10" s="138"/>
      <c r="N10" s="138"/>
      <c r="O10" s="138"/>
      <c r="P10" s="138"/>
    </row>
    <row r="11" spans="1:41" customFormat="1" ht="22.5" hidden="1" customHeight="1" x14ac:dyDescent="0.25">
      <c r="A11" s="104" t="s">
        <v>8</v>
      </c>
      <c r="B11" s="104"/>
      <c r="C11" s="104"/>
      <c r="D11" s="104"/>
      <c r="E11" s="104"/>
      <c r="F11" s="104"/>
      <c r="G11" s="129" t="s">
        <v>9</v>
      </c>
      <c r="H11" s="129"/>
      <c r="I11" s="129"/>
      <c r="J11" s="129"/>
      <c r="K11" s="129"/>
      <c r="L11" s="129"/>
      <c r="M11" s="129"/>
      <c r="N11" s="129"/>
      <c r="O11" s="129"/>
      <c r="P11" s="129"/>
      <c r="AJ11" s="6" t="s">
        <v>9</v>
      </c>
    </row>
    <row r="12" spans="1:41" customFormat="1" ht="45" hidden="1" customHeight="1" x14ac:dyDescent="0.25">
      <c r="A12" s="104" t="s">
        <v>10</v>
      </c>
      <c r="B12" s="104"/>
      <c r="C12" s="104"/>
      <c r="D12" s="104"/>
      <c r="E12" s="104"/>
      <c r="F12" s="104"/>
      <c r="G12" s="129" t="s">
        <v>11</v>
      </c>
      <c r="H12" s="129"/>
      <c r="I12" s="129"/>
      <c r="J12" s="129"/>
      <c r="K12" s="129"/>
      <c r="L12" s="129"/>
      <c r="M12" s="129"/>
      <c r="N12" s="129"/>
      <c r="O12" s="129"/>
      <c r="P12" s="129"/>
      <c r="AK12" s="6" t="s">
        <v>11</v>
      </c>
    </row>
    <row r="13" spans="1:41" customFormat="1" ht="67.5" hidden="1" customHeight="1" x14ac:dyDescent="0.25">
      <c r="A13" s="134" t="s">
        <v>12</v>
      </c>
      <c r="B13" s="134"/>
      <c r="C13" s="134"/>
      <c r="D13" s="134"/>
      <c r="E13" s="134"/>
      <c r="F13" s="134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7" t="s">
        <v>12</v>
      </c>
      <c r="R13" s="8"/>
      <c r="S13" s="6"/>
      <c r="T13" s="6"/>
      <c r="U13" s="6"/>
      <c r="V13" s="6"/>
      <c r="W13" s="6"/>
      <c r="X13" s="6"/>
      <c r="Y13" s="6"/>
      <c r="Z13" s="6"/>
      <c r="AA13" s="6"/>
      <c r="AL13" s="6" t="s">
        <v>4</v>
      </c>
    </row>
    <row r="14" spans="1:41" customFormat="1" ht="33.75" hidden="1" customHeight="1" x14ac:dyDescent="0.25">
      <c r="A14" s="104" t="s">
        <v>13</v>
      </c>
      <c r="B14" s="104"/>
      <c r="C14" s="104"/>
      <c r="D14" s="104"/>
      <c r="E14" s="104"/>
      <c r="F14" s="104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7" t="s">
        <v>13</v>
      </c>
      <c r="R14" s="8"/>
      <c r="S14" s="6"/>
      <c r="T14" s="6"/>
      <c r="U14" s="6"/>
      <c r="V14" s="6"/>
      <c r="W14" s="6"/>
      <c r="X14" s="6"/>
      <c r="Y14" s="6"/>
      <c r="Z14" s="6"/>
      <c r="AA14" s="6"/>
      <c r="AM14" s="6" t="s">
        <v>4</v>
      </c>
    </row>
    <row r="15" spans="1:41" customFormat="1" ht="11.25" hidden="1" customHeight="1" x14ac:dyDescent="0.25">
      <c r="A15" s="104" t="s">
        <v>14</v>
      </c>
      <c r="B15" s="104"/>
      <c r="C15" s="104"/>
      <c r="D15" s="104"/>
      <c r="E15" s="104"/>
      <c r="F15" s="104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AN15" s="6" t="s">
        <v>4</v>
      </c>
    </row>
    <row r="16" spans="1:41" customFormat="1" ht="11.25" hidden="1" customHeight="1" x14ac:dyDescent="0.25">
      <c r="A16" s="104" t="s">
        <v>15</v>
      </c>
      <c r="B16" s="104"/>
      <c r="C16" s="104"/>
      <c r="D16" s="104"/>
      <c r="E16" s="104"/>
      <c r="F16" s="104"/>
      <c r="G16" s="130" t="s">
        <v>16</v>
      </c>
      <c r="H16" s="130"/>
      <c r="I16" s="130"/>
      <c r="J16" s="130"/>
      <c r="K16" s="130"/>
      <c r="L16" s="130"/>
      <c r="M16" s="130"/>
      <c r="N16" s="130"/>
      <c r="O16" s="130"/>
      <c r="P16" s="130"/>
      <c r="R16" s="2" t="s">
        <v>16</v>
      </c>
      <c r="AO16" s="6" t="s">
        <v>16</v>
      </c>
    </row>
    <row r="17" spans="1:47" customFormat="1" ht="15" hidden="1" x14ac:dyDescent="0.25">
      <c r="A17" s="104" t="s">
        <v>17</v>
      </c>
      <c r="B17" s="104"/>
      <c r="C17" s="104"/>
      <c r="D17" s="104"/>
      <c r="E17" s="104"/>
      <c r="F17" s="104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AP17" s="6" t="s">
        <v>4</v>
      </c>
    </row>
    <row r="18" spans="1:47" customFormat="1" ht="6" customHeight="1" x14ac:dyDescent="0.25">
      <c r="A18" s="9"/>
      <c r="B18" s="5"/>
      <c r="C18" s="5"/>
      <c r="D18" s="5"/>
      <c r="E18" s="5"/>
      <c r="F18" s="10"/>
      <c r="G18" s="78"/>
      <c r="H18" s="78"/>
      <c r="I18" s="78"/>
      <c r="J18" s="78"/>
      <c r="K18" s="78"/>
      <c r="L18" s="78"/>
      <c r="M18" s="78"/>
      <c r="N18" s="78"/>
      <c r="O18" s="78"/>
      <c r="P18" s="277"/>
    </row>
    <row r="19" spans="1:47" customFormat="1" ht="15" x14ac:dyDescent="0.25">
      <c r="A19" s="127" t="s">
        <v>570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AQ19" s="6" t="s">
        <v>18</v>
      </c>
    </row>
    <row r="20" spans="1:47" customFormat="1" ht="15" customHeight="1" x14ac:dyDescent="0.25">
      <c r="A20" s="125" t="s">
        <v>19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</row>
    <row r="21" spans="1:47" customFormat="1" ht="6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278"/>
    </row>
    <row r="22" spans="1:47" customFormat="1" ht="15" customHeight="1" x14ac:dyDescent="0.25">
      <c r="A22" s="127" t="s">
        <v>570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AR22" s="6" t="s">
        <v>4</v>
      </c>
    </row>
    <row r="23" spans="1:47" customFormat="1" ht="15" x14ac:dyDescent="0.25">
      <c r="A23" s="125" t="s">
        <v>20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</row>
    <row r="24" spans="1:47" customFormat="1" ht="17.25" customHeight="1" x14ac:dyDescent="0.25">
      <c r="A24" s="126" t="s">
        <v>944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</row>
    <row r="25" spans="1:47" customFormat="1" ht="8.2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96"/>
    </row>
    <row r="26" spans="1:47" customFormat="1" ht="15" customHeight="1" x14ac:dyDescent="0.25">
      <c r="A26" s="127" t="s">
        <v>570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AS26" s="6" t="s">
        <v>21</v>
      </c>
    </row>
    <row r="27" spans="1:47" customFormat="1" ht="11.25" customHeight="1" x14ac:dyDescent="0.25">
      <c r="A27" s="125" t="s">
        <v>22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</row>
    <row r="28" spans="1:47" customFormat="1" ht="12" customHeight="1" x14ac:dyDescent="0.25">
      <c r="A28" s="5" t="s">
        <v>23</v>
      </c>
      <c r="B28" s="13" t="s">
        <v>24</v>
      </c>
      <c r="C28" s="4" t="s">
        <v>25</v>
      </c>
      <c r="D28" s="4"/>
      <c r="E28" s="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279"/>
    </row>
    <row r="29" spans="1:47" customFormat="1" ht="15" x14ac:dyDescent="0.25">
      <c r="A29" s="5" t="s">
        <v>26</v>
      </c>
      <c r="B29" s="128" t="s">
        <v>27</v>
      </c>
      <c r="C29" s="128"/>
      <c r="D29" s="128"/>
      <c r="E29" s="128"/>
      <c r="F29" s="128"/>
      <c r="G29" s="14"/>
      <c r="H29" s="14"/>
      <c r="I29" s="14"/>
      <c r="J29" s="14"/>
      <c r="K29" s="14"/>
      <c r="L29" s="14"/>
      <c r="M29" s="14"/>
      <c r="N29" s="14"/>
      <c r="O29" s="14"/>
      <c r="P29" s="279"/>
      <c r="AT29" s="6" t="s">
        <v>27</v>
      </c>
    </row>
    <row r="30" spans="1:47" customFormat="1" ht="10.5" customHeight="1" x14ac:dyDescent="0.25">
      <c r="A30" s="5"/>
      <c r="B30" s="131" t="s">
        <v>28</v>
      </c>
      <c r="C30" s="131"/>
      <c r="D30" s="131"/>
      <c r="E30" s="131"/>
      <c r="F30" s="131"/>
      <c r="G30" s="15"/>
      <c r="H30" s="15"/>
      <c r="I30" s="15"/>
      <c r="J30" s="15"/>
      <c r="K30" s="15"/>
      <c r="L30" s="15"/>
      <c r="M30" s="15"/>
      <c r="N30" s="15"/>
      <c r="O30" s="16"/>
      <c r="P30" s="280"/>
    </row>
    <row r="31" spans="1:47" customFormat="1" ht="9.75" customHeight="1" x14ac:dyDescent="0.25">
      <c r="A31" s="5"/>
      <c r="B31" s="5"/>
      <c r="C31" s="5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5"/>
      <c r="P31" s="280"/>
    </row>
    <row r="32" spans="1:47" customFormat="1" ht="15" x14ac:dyDescent="0.25">
      <c r="A32" s="18" t="s">
        <v>29</v>
      </c>
      <c r="B32" s="19"/>
      <c r="C32" s="132" t="s">
        <v>304</v>
      </c>
      <c r="D32" s="132"/>
      <c r="E32" s="132"/>
      <c r="F32" s="132"/>
      <c r="G32" s="6"/>
      <c r="H32" s="6"/>
      <c r="I32" s="6"/>
      <c r="J32" s="6"/>
      <c r="K32" s="6"/>
      <c r="L32" s="6"/>
      <c r="M32" s="6"/>
      <c r="N32" s="6"/>
      <c r="O32" s="6"/>
      <c r="P32" s="281"/>
      <c r="AU32" s="6" t="s">
        <v>30</v>
      </c>
    </row>
    <row r="33" spans="1:63" customFormat="1" ht="9.75" customHeight="1" x14ac:dyDescent="0.25">
      <c r="A33" s="5"/>
      <c r="B33" s="19"/>
      <c r="C33" s="20"/>
      <c r="D33" s="21"/>
      <c r="E33" s="21"/>
      <c r="F33" s="21"/>
      <c r="G33" s="22"/>
      <c r="H33" s="22"/>
      <c r="I33" s="22"/>
      <c r="J33" s="22"/>
      <c r="K33" s="22"/>
      <c r="L33" s="22"/>
      <c r="M33" s="22"/>
      <c r="N33" s="22"/>
      <c r="O33" s="22"/>
      <c r="P33" s="282"/>
    </row>
    <row r="34" spans="1:63" customFormat="1" ht="12" customHeight="1" x14ac:dyDescent="0.25">
      <c r="A34" s="18" t="s">
        <v>31</v>
      </c>
      <c r="B34" s="19"/>
      <c r="C34" s="23"/>
      <c r="D34" s="299">
        <f>P2056/1000</f>
        <v>3546.18192</v>
      </c>
      <c r="E34" s="25" t="s">
        <v>32</v>
      </c>
      <c r="G34" s="19"/>
      <c r="H34" s="19"/>
      <c r="I34" s="19"/>
      <c r="J34" s="19"/>
      <c r="K34" s="19"/>
      <c r="L34" s="19"/>
      <c r="M34" s="19"/>
      <c r="N34" s="26"/>
      <c r="O34" s="26"/>
      <c r="P34" s="30"/>
    </row>
    <row r="35" spans="1:63" customFormat="1" ht="12" customHeight="1" x14ac:dyDescent="0.25">
      <c r="A35" s="5"/>
      <c r="B35" s="27" t="s">
        <v>33</v>
      </c>
      <c r="C35" s="28"/>
      <c r="D35" s="29"/>
      <c r="E35" s="25"/>
      <c r="G35" s="19"/>
      <c r="P35" s="283"/>
    </row>
    <row r="36" spans="1:63" customFormat="1" ht="12" customHeight="1" x14ac:dyDescent="0.25">
      <c r="A36" s="5"/>
      <c r="B36" s="30" t="s">
        <v>34</v>
      </c>
      <c r="C36" s="23"/>
      <c r="D36" s="24">
        <f>P2051/1000</f>
        <v>1614.4400245417212</v>
      </c>
      <c r="E36" s="25" t="s">
        <v>32</v>
      </c>
      <c r="I36" s="19"/>
      <c r="K36" s="19" t="s">
        <v>35</v>
      </c>
      <c r="L36" s="19"/>
      <c r="M36" s="19"/>
      <c r="N36" s="31"/>
      <c r="O36" s="24">
        <f>P2052/1000</f>
        <v>599.58218268253199</v>
      </c>
      <c r="P36" s="284" t="s">
        <v>32</v>
      </c>
    </row>
    <row r="37" spans="1:63" customFormat="1" ht="12" customHeight="1" x14ac:dyDescent="0.25">
      <c r="A37" s="5"/>
      <c r="B37" s="30" t="s">
        <v>945</v>
      </c>
      <c r="C37" s="32"/>
      <c r="D37" s="33">
        <f>P2053/1000</f>
        <v>617.62164457787378</v>
      </c>
      <c r="E37" s="25" t="s">
        <v>32</v>
      </c>
      <c r="I37" s="19"/>
      <c r="K37" s="19" t="s">
        <v>36</v>
      </c>
      <c r="L37" s="19"/>
      <c r="M37" s="19"/>
      <c r="N37" s="31"/>
      <c r="O37" s="24"/>
      <c r="P37" s="284" t="s">
        <v>32</v>
      </c>
    </row>
    <row r="38" spans="1:63" customFormat="1" ht="9.75" customHeight="1" x14ac:dyDescent="0.25">
      <c r="A38" s="5"/>
      <c r="B38" s="19"/>
      <c r="D38" s="34"/>
      <c r="E38" s="25"/>
      <c r="H38" s="19"/>
      <c r="I38" s="19"/>
      <c r="J38" s="19"/>
      <c r="K38" s="19"/>
      <c r="L38" s="19"/>
      <c r="M38" s="19"/>
      <c r="N38" s="22"/>
      <c r="O38" s="22"/>
      <c r="P38" s="30"/>
    </row>
    <row r="39" spans="1:63" customFormat="1" ht="11.25" customHeight="1" x14ac:dyDescent="0.25">
      <c r="A39" s="121" t="s">
        <v>37</v>
      </c>
      <c r="B39" s="111" t="s">
        <v>38</v>
      </c>
      <c r="C39" s="112" t="s">
        <v>39</v>
      </c>
      <c r="D39" s="113"/>
      <c r="E39" s="113"/>
      <c r="F39" s="113"/>
      <c r="G39" s="114"/>
      <c r="H39" s="111" t="s">
        <v>40</v>
      </c>
      <c r="I39" s="111" t="s">
        <v>41</v>
      </c>
      <c r="J39" s="111"/>
      <c r="K39" s="111"/>
      <c r="L39" s="112" t="s">
        <v>42</v>
      </c>
      <c r="M39" s="113"/>
      <c r="N39" s="113"/>
      <c r="O39" s="113"/>
      <c r="P39" s="114"/>
    </row>
    <row r="40" spans="1:63" customFormat="1" ht="11.25" customHeight="1" x14ac:dyDescent="0.25">
      <c r="A40" s="121"/>
      <c r="B40" s="111"/>
      <c r="C40" s="122"/>
      <c r="D40" s="123"/>
      <c r="E40" s="123"/>
      <c r="F40" s="123"/>
      <c r="G40" s="124"/>
      <c r="H40" s="111"/>
      <c r="I40" s="111"/>
      <c r="J40" s="111"/>
      <c r="K40" s="111"/>
      <c r="L40" s="115"/>
      <c r="M40" s="116"/>
      <c r="N40" s="116"/>
      <c r="O40" s="116"/>
      <c r="P40" s="117"/>
    </row>
    <row r="41" spans="1:63" customFormat="1" ht="54" customHeight="1" x14ac:dyDescent="0.25">
      <c r="A41" s="121"/>
      <c r="B41" s="111"/>
      <c r="C41" s="115"/>
      <c r="D41" s="116"/>
      <c r="E41" s="116"/>
      <c r="F41" s="116"/>
      <c r="G41" s="117"/>
      <c r="H41" s="111"/>
      <c r="I41" s="35" t="s">
        <v>43</v>
      </c>
      <c r="J41" s="35" t="s">
        <v>44</v>
      </c>
      <c r="K41" s="35" t="s">
        <v>45</v>
      </c>
      <c r="L41" s="35" t="s">
        <v>46</v>
      </c>
      <c r="M41" s="35" t="s">
        <v>47</v>
      </c>
      <c r="N41" s="35" t="s">
        <v>48</v>
      </c>
      <c r="O41" s="35" t="s">
        <v>44</v>
      </c>
      <c r="P41" s="285" t="s">
        <v>49</v>
      </c>
    </row>
    <row r="42" spans="1:63" customFormat="1" ht="13.5" customHeight="1" x14ac:dyDescent="0.25">
      <c r="A42" s="36">
        <v>1</v>
      </c>
      <c r="B42" s="37">
        <v>2</v>
      </c>
      <c r="C42" s="118">
        <v>3</v>
      </c>
      <c r="D42" s="119"/>
      <c r="E42" s="119"/>
      <c r="F42" s="119"/>
      <c r="G42" s="120"/>
      <c r="H42" s="37">
        <v>4</v>
      </c>
      <c r="I42" s="37">
        <v>5</v>
      </c>
      <c r="J42" s="37">
        <v>6</v>
      </c>
      <c r="K42" s="37">
        <v>7</v>
      </c>
      <c r="L42" s="37">
        <v>8</v>
      </c>
      <c r="M42" s="37">
        <v>9</v>
      </c>
      <c r="N42" s="37">
        <v>10</v>
      </c>
      <c r="O42" s="37">
        <v>11</v>
      </c>
      <c r="P42" s="286">
        <v>12</v>
      </c>
    </row>
    <row r="43" spans="1:63" s="19" customFormat="1" ht="15" x14ac:dyDescent="0.25">
      <c r="A43" s="107" t="s">
        <v>572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9"/>
      <c r="Q43"/>
      <c r="R43"/>
      <c r="S43"/>
      <c r="T43"/>
      <c r="U43"/>
      <c r="V43"/>
      <c r="W43"/>
      <c r="X43"/>
      <c r="Y43"/>
      <c r="Z43"/>
      <c r="AA43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38" t="s">
        <v>50</v>
      </c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</row>
    <row r="44" spans="1:63" s="19" customFormat="1" ht="15" x14ac:dyDescent="0.25">
      <c r="A44" s="107" t="s">
        <v>51</v>
      </c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9"/>
      <c r="Q44"/>
      <c r="R44"/>
      <c r="S44"/>
      <c r="T44"/>
      <c r="U44"/>
      <c r="V44"/>
      <c r="W44"/>
      <c r="X44"/>
      <c r="Y44"/>
      <c r="Z44"/>
      <c r="AA44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38"/>
      <c r="AW44" s="38" t="s">
        <v>51</v>
      </c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</row>
    <row r="45" spans="1:63" s="19" customFormat="1" ht="23.25" x14ac:dyDescent="0.25">
      <c r="A45" s="39" t="s">
        <v>52</v>
      </c>
      <c r="B45" s="40" t="s">
        <v>53</v>
      </c>
      <c r="C45" s="103" t="s">
        <v>54</v>
      </c>
      <c r="D45" s="103"/>
      <c r="E45" s="103"/>
      <c r="F45" s="103"/>
      <c r="G45" s="103"/>
      <c r="H45" s="41" t="s">
        <v>55</v>
      </c>
      <c r="I45" s="42">
        <v>0.17899999999999999</v>
      </c>
      <c r="J45" s="43">
        <v>1</v>
      </c>
      <c r="K45" s="42">
        <v>0.17899999999999999</v>
      </c>
      <c r="L45" s="45"/>
      <c r="M45" s="42"/>
      <c r="N45" s="45"/>
      <c r="O45" s="42"/>
      <c r="P45" s="46"/>
      <c r="Q45"/>
      <c r="R45"/>
      <c r="S45"/>
      <c r="T45"/>
      <c r="U45"/>
      <c r="V45"/>
      <c r="W45"/>
      <c r="X45"/>
      <c r="Y45"/>
      <c r="Z45"/>
      <c r="AA45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38"/>
      <c r="AW45" s="38"/>
      <c r="AX45" s="38" t="s">
        <v>54</v>
      </c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</row>
    <row r="46" spans="1:63" s="19" customFormat="1" ht="15" x14ac:dyDescent="0.25">
      <c r="A46" s="47"/>
      <c r="B46" s="48"/>
      <c r="C46" s="102" t="s">
        <v>56</v>
      </c>
      <c r="D46" s="102"/>
      <c r="E46" s="102"/>
      <c r="F46" s="102"/>
      <c r="G46" s="102"/>
      <c r="H46" s="41"/>
      <c r="I46" s="42"/>
      <c r="J46" s="42"/>
      <c r="K46" s="42"/>
      <c r="L46" s="45"/>
      <c r="M46" s="42"/>
      <c r="N46" s="49"/>
      <c r="O46" s="42"/>
      <c r="P46" s="50">
        <v>3911.55</v>
      </c>
      <c r="Q46" s="51"/>
      <c r="R46" s="51"/>
      <c r="S46"/>
      <c r="T46">
        <f>T290</f>
        <v>0</v>
      </c>
      <c r="U46" s="50">
        <f>3401.35</f>
        <v>3401.35</v>
      </c>
      <c r="V46"/>
      <c r="X46"/>
      <c r="Y46"/>
      <c r="Z46"/>
      <c r="AA4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38"/>
      <c r="AW46" s="38"/>
      <c r="AX46" s="38"/>
      <c r="AY46" s="38" t="s">
        <v>56</v>
      </c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</row>
    <row r="47" spans="1:63" s="19" customFormat="1" ht="15" x14ac:dyDescent="0.25">
      <c r="A47" s="52"/>
      <c r="B47" s="53"/>
      <c r="C47" s="104" t="s">
        <v>57</v>
      </c>
      <c r="D47" s="104"/>
      <c r="E47" s="104"/>
      <c r="F47" s="104"/>
      <c r="G47" s="104"/>
      <c r="H47" s="54"/>
      <c r="I47" s="55"/>
      <c r="J47" s="55"/>
      <c r="K47" s="55"/>
      <c r="L47" s="56"/>
      <c r="M47" s="55"/>
      <c r="N47" s="56"/>
      <c r="O47" s="55"/>
      <c r="P47" s="77">
        <v>3212.38</v>
      </c>
      <c r="Q47"/>
      <c r="R47"/>
      <c r="S47"/>
      <c r="T47">
        <f>T290</f>
        <v>0</v>
      </c>
      <c r="U47" s="57">
        <v>2793.37</v>
      </c>
      <c r="V47"/>
      <c r="W47" s="42"/>
      <c r="X47"/>
      <c r="Y47"/>
      <c r="Z47"/>
      <c r="AA47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38"/>
      <c r="AW47" s="38"/>
      <c r="AX47" s="38"/>
      <c r="AY47" s="38"/>
      <c r="AZ47" s="6" t="s">
        <v>57</v>
      </c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</row>
    <row r="48" spans="1:63" s="19" customFormat="1" ht="15" x14ac:dyDescent="0.25">
      <c r="A48" s="52"/>
      <c r="B48" s="53" t="s">
        <v>58</v>
      </c>
      <c r="C48" s="104" t="s">
        <v>59</v>
      </c>
      <c r="D48" s="104"/>
      <c r="E48" s="104"/>
      <c r="F48" s="104"/>
      <c r="G48" s="104"/>
      <c r="H48" s="54" t="s">
        <v>60</v>
      </c>
      <c r="I48" s="58">
        <v>100</v>
      </c>
      <c r="J48" s="55"/>
      <c r="K48" s="58">
        <v>100</v>
      </c>
      <c r="L48" s="56"/>
      <c r="M48" s="55"/>
      <c r="N48" s="56"/>
      <c r="O48" s="55"/>
      <c r="P48" s="77">
        <v>3212.38</v>
      </c>
      <c r="Q48"/>
      <c r="R48"/>
      <c r="S48"/>
      <c r="T48">
        <f>T290</f>
        <v>0</v>
      </c>
      <c r="U48" s="57">
        <v>2793.37</v>
      </c>
      <c r="V48"/>
      <c r="W48" s="55"/>
      <c r="X48"/>
      <c r="Y48"/>
      <c r="Z48"/>
      <c r="AA48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38"/>
      <c r="AW48" s="38"/>
      <c r="AX48" s="38"/>
      <c r="AY48" s="38"/>
      <c r="AZ48" s="6" t="s">
        <v>59</v>
      </c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</row>
    <row r="49" spans="1:63" s="19" customFormat="1" ht="15" x14ac:dyDescent="0.25">
      <c r="A49" s="52"/>
      <c r="B49" s="53" t="s">
        <v>61</v>
      </c>
      <c r="C49" s="104" t="s">
        <v>62</v>
      </c>
      <c r="D49" s="104"/>
      <c r="E49" s="104"/>
      <c r="F49" s="104"/>
      <c r="G49" s="104"/>
      <c r="H49" s="54" t="s">
        <v>60</v>
      </c>
      <c r="I49" s="58">
        <v>49</v>
      </c>
      <c r="J49" s="55"/>
      <c r="K49" s="58">
        <v>49</v>
      </c>
      <c r="L49" s="56"/>
      <c r="M49" s="55"/>
      <c r="N49" s="56"/>
      <c r="O49" s="55"/>
      <c r="P49" s="77">
        <v>1574.06</v>
      </c>
      <c r="Q49"/>
      <c r="R49"/>
      <c r="S49"/>
      <c r="T49" s="79">
        <f t="shared" ref="T49" si="0">T290</f>
        <v>0</v>
      </c>
      <c r="U49" s="57">
        <v>1368.75</v>
      </c>
      <c r="V49"/>
      <c r="W49" s="58"/>
      <c r="X49"/>
      <c r="Y49"/>
      <c r="Z49"/>
      <c r="AA49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8"/>
      <c r="AW49" s="38"/>
      <c r="AX49" s="38"/>
      <c r="AY49" s="38"/>
      <c r="AZ49" s="6" t="s">
        <v>62</v>
      </c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</row>
    <row r="50" spans="1:63" s="19" customFormat="1" ht="15" x14ac:dyDescent="0.25">
      <c r="A50" s="59"/>
      <c r="B50" s="60"/>
      <c r="C50" s="102" t="s">
        <v>63</v>
      </c>
      <c r="D50" s="102"/>
      <c r="E50" s="102"/>
      <c r="F50" s="102"/>
      <c r="G50" s="102"/>
      <c r="H50" s="41"/>
      <c r="I50" s="42"/>
      <c r="J50" s="42"/>
      <c r="K50" s="42"/>
      <c r="L50" s="45"/>
      <c r="M50" s="42"/>
      <c r="N50" s="49">
        <v>64479.71</v>
      </c>
      <c r="O50" s="42"/>
      <c r="P50" s="91">
        <v>8697.99</v>
      </c>
      <c r="Q50"/>
      <c r="R50"/>
      <c r="S50"/>
      <c r="T50">
        <f>T290</f>
        <v>0</v>
      </c>
      <c r="U50" s="50">
        <f>7563.47*(K45/W50)</f>
        <v>7438.7974175824174</v>
      </c>
      <c r="V50"/>
      <c r="W50" s="42">
        <v>0.182</v>
      </c>
      <c r="X50"/>
      <c r="Y50"/>
      <c r="Z50"/>
      <c r="AA50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8"/>
      <c r="AW50" s="38"/>
      <c r="AX50" s="38"/>
      <c r="AY50" s="38"/>
      <c r="AZ50" s="6"/>
      <c r="BA50" s="38" t="s">
        <v>63</v>
      </c>
      <c r="BB50" s="6"/>
      <c r="BC50" s="6"/>
      <c r="BD50" s="6"/>
      <c r="BE50" s="6"/>
      <c r="BF50" s="6"/>
      <c r="BG50" s="6"/>
      <c r="BH50" s="6"/>
      <c r="BI50" s="6"/>
      <c r="BJ50" s="6"/>
      <c r="BK50" s="6"/>
    </row>
    <row r="51" spans="1:63" s="19" customFormat="1" ht="23.25" x14ac:dyDescent="0.25">
      <c r="A51" s="39" t="s">
        <v>64</v>
      </c>
      <c r="B51" s="40" t="s">
        <v>65</v>
      </c>
      <c r="C51" s="103" t="s">
        <v>66</v>
      </c>
      <c r="D51" s="103"/>
      <c r="E51" s="103"/>
      <c r="F51" s="103"/>
      <c r="G51" s="103"/>
      <c r="H51" s="41" t="s">
        <v>67</v>
      </c>
      <c r="I51" s="42">
        <f>2.5806*1.5</f>
        <v>3.8708999999999998</v>
      </c>
      <c r="J51" s="43">
        <v>1</v>
      </c>
      <c r="K51" s="44">
        <f>I51</f>
        <v>3.8708999999999998</v>
      </c>
      <c r="L51" s="61">
        <v>68.290000000000006</v>
      </c>
      <c r="M51" s="62">
        <v>1.72</v>
      </c>
      <c r="N51" s="61">
        <v>117.46</v>
      </c>
      <c r="O51" s="42"/>
      <c r="P51" s="50">
        <v>522.88</v>
      </c>
      <c r="Q51"/>
      <c r="R51"/>
      <c r="S51"/>
      <c r="T51" s="79">
        <f>T290</f>
        <v>0</v>
      </c>
      <c r="U51" s="63">
        <f>U52</f>
        <v>454.68</v>
      </c>
      <c r="V51"/>
      <c r="W51" s="42"/>
      <c r="X51"/>
      <c r="Y51"/>
      <c r="Z51"/>
      <c r="AA51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8"/>
      <c r="AW51" s="38"/>
      <c r="AX51" s="38" t="s">
        <v>66</v>
      </c>
      <c r="AY51" s="38"/>
      <c r="AZ51" s="6"/>
      <c r="BA51" s="38"/>
      <c r="BB51" s="6"/>
      <c r="BC51" s="6"/>
      <c r="BD51" s="6"/>
      <c r="BE51" s="6"/>
      <c r="BF51" s="6"/>
      <c r="BG51" s="6"/>
      <c r="BH51" s="6"/>
      <c r="BI51" s="6"/>
      <c r="BJ51" s="6"/>
      <c r="BK51" s="6"/>
    </row>
    <row r="52" spans="1:63" s="19" customFormat="1" ht="15" x14ac:dyDescent="0.25">
      <c r="A52" s="59"/>
      <c r="B52" s="60"/>
      <c r="C52" s="102" t="s">
        <v>63</v>
      </c>
      <c r="D52" s="102"/>
      <c r="E52" s="102"/>
      <c r="F52" s="102"/>
      <c r="G52" s="102"/>
      <c r="H52" s="41"/>
      <c r="I52" s="42"/>
      <c r="J52" s="42"/>
      <c r="K52" s="42"/>
      <c r="L52" s="45"/>
      <c r="M52" s="42"/>
      <c r="N52" s="45"/>
      <c r="O52" s="42"/>
      <c r="P52" s="50">
        <v>522.88</v>
      </c>
      <c r="Q52"/>
      <c r="R52"/>
      <c r="S52"/>
      <c r="T52" s="79">
        <f>T290</f>
        <v>0</v>
      </c>
      <c r="U52" s="63">
        <f>303.12*(K51/W52)</f>
        <v>454.68</v>
      </c>
      <c r="V52"/>
      <c r="W52" s="44">
        <v>2.5806</v>
      </c>
      <c r="X52"/>
      <c r="Y52"/>
      <c r="Z52"/>
      <c r="AA52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8"/>
      <c r="AW52" s="38"/>
      <c r="AX52" s="38"/>
      <c r="AY52" s="38"/>
      <c r="AZ52" s="6"/>
      <c r="BA52" s="38" t="s">
        <v>63</v>
      </c>
      <c r="BB52" s="6"/>
      <c r="BC52" s="6"/>
      <c r="BD52" s="6"/>
      <c r="BE52" s="6"/>
      <c r="BF52" s="6"/>
      <c r="BG52" s="6"/>
      <c r="BH52" s="6"/>
      <c r="BI52" s="6"/>
      <c r="BJ52" s="6"/>
      <c r="BK52" s="6"/>
    </row>
    <row r="53" spans="1:63" s="19" customFormat="1" ht="15" x14ac:dyDescent="0.25">
      <c r="A53" s="39" t="s">
        <v>68</v>
      </c>
      <c r="B53" s="40" t="s">
        <v>69</v>
      </c>
      <c r="C53" s="103" t="s">
        <v>70</v>
      </c>
      <c r="D53" s="103"/>
      <c r="E53" s="103"/>
      <c r="F53" s="103"/>
      <c r="G53" s="103"/>
      <c r="H53" s="41" t="s">
        <v>71</v>
      </c>
      <c r="I53" s="42">
        <f>0.0038709*1.5</f>
        <v>5.8063500000000001E-3</v>
      </c>
      <c r="J53" s="43">
        <v>1</v>
      </c>
      <c r="K53" s="64">
        <f>I53</f>
        <v>5.8063500000000001E-3</v>
      </c>
      <c r="L53" s="49">
        <v>52265.82</v>
      </c>
      <c r="M53" s="62">
        <v>1.81</v>
      </c>
      <c r="N53" s="49">
        <v>94601.13</v>
      </c>
      <c r="O53" s="42"/>
      <c r="P53" s="50">
        <v>631.67999999999995</v>
      </c>
      <c r="Q53"/>
      <c r="R53"/>
      <c r="S53"/>
      <c r="T53" s="79">
        <f>T290</f>
        <v>0</v>
      </c>
      <c r="U53" s="63">
        <f>366.19*(K53/W54)</f>
        <v>549.28499999999997</v>
      </c>
      <c r="V53"/>
      <c r="W53" s="42"/>
      <c r="X53"/>
      <c r="Y53"/>
      <c r="Z53"/>
      <c r="AA53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8"/>
      <c r="AW53" s="38"/>
      <c r="AX53" s="38" t="s">
        <v>70</v>
      </c>
      <c r="AY53" s="38"/>
      <c r="AZ53" s="6"/>
      <c r="BA53" s="38"/>
      <c r="BB53" s="6"/>
      <c r="BC53" s="6"/>
      <c r="BD53" s="6"/>
      <c r="BE53" s="6"/>
      <c r="BF53" s="6"/>
      <c r="BG53" s="6"/>
      <c r="BH53" s="6"/>
      <c r="BI53" s="6"/>
      <c r="BJ53" s="6"/>
      <c r="BK53" s="6"/>
    </row>
    <row r="54" spans="1:63" s="19" customFormat="1" ht="15" x14ac:dyDescent="0.25">
      <c r="A54" s="59"/>
      <c r="B54" s="60"/>
      <c r="C54" s="102" t="s">
        <v>63</v>
      </c>
      <c r="D54" s="102"/>
      <c r="E54" s="102"/>
      <c r="F54" s="102"/>
      <c r="G54" s="102"/>
      <c r="H54" s="41"/>
      <c r="I54" s="42"/>
      <c r="J54" s="42"/>
      <c r="K54" s="42"/>
      <c r="L54" s="45"/>
      <c r="M54" s="42"/>
      <c r="N54" s="45"/>
      <c r="O54" s="42"/>
      <c r="P54" s="50">
        <v>631.67999999999995</v>
      </c>
      <c r="Q54"/>
      <c r="R54"/>
      <c r="S54"/>
      <c r="T54" s="79">
        <f>T290</f>
        <v>0</v>
      </c>
      <c r="U54" s="63">
        <f>U53</f>
        <v>549.28499999999997</v>
      </c>
      <c r="V54"/>
      <c r="W54" s="64">
        <v>3.8709E-3</v>
      </c>
      <c r="X54"/>
      <c r="Y54"/>
      <c r="Z54"/>
      <c r="AA54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8"/>
      <c r="AW54" s="38"/>
      <c r="AX54" s="38"/>
      <c r="AY54" s="38"/>
      <c r="AZ54" s="6"/>
      <c r="BA54" s="38" t="s">
        <v>63</v>
      </c>
      <c r="BB54" s="6"/>
      <c r="BC54" s="6"/>
      <c r="BD54" s="6"/>
      <c r="BE54" s="6"/>
      <c r="BF54" s="6"/>
      <c r="BG54" s="6"/>
      <c r="BH54" s="6"/>
      <c r="BI54" s="6"/>
      <c r="BJ54" s="6"/>
      <c r="BK54" s="6"/>
    </row>
    <row r="55" spans="1:63" s="19" customFormat="1" ht="15" x14ac:dyDescent="0.25">
      <c r="A55" s="39" t="s">
        <v>72</v>
      </c>
      <c r="B55" s="40" t="s">
        <v>73</v>
      </c>
      <c r="C55" s="103" t="s">
        <v>74</v>
      </c>
      <c r="D55" s="103"/>
      <c r="E55" s="103"/>
      <c r="F55" s="103"/>
      <c r="G55" s="103"/>
      <c r="H55" s="41" t="s">
        <v>75</v>
      </c>
      <c r="I55" s="42">
        <v>0.03</v>
      </c>
      <c r="J55" s="43">
        <v>1</v>
      </c>
      <c r="K55" s="62">
        <v>0.03</v>
      </c>
      <c r="L55" s="45"/>
      <c r="M55" s="42"/>
      <c r="N55" s="45"/>
      <c r="O55" s="42"/>
      <c r="P55" s="50"/>
      <c r="Q55"/>
      <c r="R55"/>
      <c r="S55"/>
      <c r="T55" s="79">
        <f>T290</f>
        <v>0</v>
      </c>
      <c r="U55" s="46"/>
      <c r="V55"/>
      <c r="W55" s="42"/>
      <c r="X55"/>
      <c r="Y55"/>
      <c r="Z55"/>
      <c r="AA55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8"/>
      <c r="AW55" s="38"/>
      <c r="AX55" s="38" t="s">
        <v>74</v>
      </c>
      <c r="AY55" s="38"/>
      <c r="AZ55" s="6"/>
      <c r="BA55" s="38"/>
      <c r="BB55" s="6"/>
      <c r="BC55" s="6"/>
      <c r="BD55" s="6"/>
      <c r="BE55" s="6"/>
      <c r="BF55" s="6"/>
      <c r="BG55" s="6"/>
      <c r="BH55" s="6"/>
      <c r="BI55" s="6"/>
      <c r="BJ55" s="6"/>
      <c r="BK55" s="6"/>
    </row>
    <row r="56" spans="1:63" s="19" customFormat="1" ht="15" x14ac:dyDescent="0.25">
      <c r="A56" s="47"/>
      <c r="B56" s="48"/>
      <c r="C56" s="102" t="s">
        <v>56</v>
      </c>
      <c r="D56" s="102"/>
      <c r="E56" s="102"/>
      <c r="F56" s="102"/>
      <c r="G56" s="102"/>
      <c r="H56" s="41"/>
      <c r="I56" s="42"/>
      <c r="J56" s="42"/>
      <c r="K56" s="42"/>
      <c r="L56" s="45"/>
      <c r="M56" s="42"/>
      <c r="N56" s="49"/>
      <c r="O56" s="42"/>
      <c r="P56" s="50">
        <v>1555.34</v>
      </c>
      <c r="Q56" s="51"/>
      <c r="R56" s="51"/>
      <c r="S56"/>
      <c r="T56" s="79">
        <f>T290</f>
        <v>0</v>
      </c>
      <c r="U56" s="50">
        <v>1352.47</v>
      </c>
      <c r="V56"/>
      <c r="W56" s="62">
        <v>0.02</v>
      </c>
      <c r="X56"/>
      <c r="Y56"/>
      <c r="Z56"/>
      <c r="AA5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8"/>
      <c r="AW56" s="38"/>
      <c r="AX56" s="38"/>
      <c r="AY56" s="38" t="s">
        <v>56</v>
      </c>
      <c r="AZ56" s="6"/>
      <c r="BA56" s="38"/>
      <c r="BB56" s="6"/>
      <c r="BC56" s="6"/>
      <c r="BD56" s="6"/>
      <c r="BE56" s="6"/>
      <c r="BF56" s="6"/>
      <c r="BG56" s="6"/>
      <c r="BH56" s="6"/>
      <c r="BI56" s="6"/>
      <c r="BJ56" s="6"/>
      <c r="BK56" s="6"/>
    </row>
    <row r="57" spans="1:63" s="19" customFormat="1" ht="15" x14ac:dyDescent="0.25">
      <c r="A57" s="52"/>
      <c r="B57" s="53"/>
      <c r="C57" s="104" t="s">
        <v>57</v>
      </c>
      <c r="D57" s="104"/>
      <c r="E57" s="104"/>
      <c r="F57" s="104"/>
      <c r="G57" s="104"/>
      <c r="H57" s="54"/>
      <c r="I57" s="55"/>
      <c r="J57" s="55"/>
      <c r="K57" s="55"/>
      <c r="L57" s="56"/>
      <c r="M57" s="55"/>
      <c r="N57" s="56"/>
      <c r="O57" s="55"/>
      <c r="P57" s="77">
        <v>1555.25</v>
      </c>
      <c r="Q57"/>
      <c r="R57"/>
      <c r="S57"/>
      <c r="T57" s="79">
        <f>T290</f>
        <v>0</v>
      </c>
      <c r="U57" s="57">
        <v>1352.39</v>
      </c>
      <c r="V57"/>
      <c r="W57" s="42"/>
      <c r="X57"/>
      <c r="Y57"/>
      <c r="Z57"/>
      <c r="AA57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8"/>
      <c r="AW57" s="38"/>
      <c r="AX57" s="38"/>
      <c r="AY57" s="38"/>
      <c r="AZ57" s="6" t="s">
        <v>57</v>
      </c>
      <c r="BA57" s="38"/>
      <c r="BB57" s="6"/>
      <c r="BC57" s="6"/>
      <c r="BD57" s="6"/>
      <c r="BE57" s="6"/>
      <c r="BF57" s="6"/>
      <c r="BG57" s="6"/>
      <c r="BH57" s="6"/>
      <c r="BI57" s="6"/>
      <c r="BJ57" s="6"/>
      <c r="BK57" s="6"/>
    </row>
    <row r="58" spans="1:63" s="19" customFormat="1" ht="15" x14ac:dyDescent="0.25">
      <c r="A58" s="52"/>
      <c r="B58" s="53" t="s">
        <v>76</v>
      </c>
      <c r="C58" s="104" t="s">
        <v>77</v>
      </c>
      <c r="D58" s="104"/>
      <c r="E58" s="104"/>
      <c r="F58" s="104"/>
      <c r="G58" s="104"/>
      <c r="H58" s="54" t="s">
        <v>60</v>
      </c>
      <c r="I58" s="58">
        <v>91</v>
      </c>
      <c r="J58" s="55"/>
      <c r="K58" s="58">
        <v>91</v>
      </c>
      <c r="L58" s="56"/>
      <c r="M58" s="55"/>
      <c r="N58" s="56"/>
      <c r="O58" s="55"/>
      <c r="P58" s="77">
        <v>1415.27</v>
      </c>
      <c r="Q58"/>
      <c r="R58"/>
      <c r="S58"/>
      <c r="T58" s="79">
        <f>T290</f>
        <v>0</v>
      </c>
      <c r="U58" s="57">
        <v>1230.67</v>
      </c>
      <c r="V58"/>
      <c r="W58" s="55"/>
      <c r="X58"/>
      <c r="Y58"/>
      <c r="Z58"/>
      <c r="AA58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8"/>
      <c r="AW58" s="38"/>
      <c r="AX58" s="38"/>
      <c r="AY58" s="38"/>
      <c r="AZ58" s="6" t="s">
        <v>77</v>
      </c>
      <c r="BA58" s="38"/>
      <c r="BB58" s="6"/>
      <c r="BC58" s="6"/>
      <c r="BD58" s="6"/>
      <c r="BE58" s="6"/>
      <c r="BF58" s="6"/>
      <c r="BG58" s="6"/>
      <c r="BH58" s="6"/>
      <c r="BI58" s="6"/>
      <c r="BJ58" s="6"/>
      <c r="BK58" s="6"/>
    </row>
    <row r="59" spans="1:63" s="19" customFormat="1" ht="15" x14ac:dyDescent="0.25">
      <c r="A59" s="52"/>
      <c r="B59" s="53" t="s">
        <v>78</v>
      </c>
      <c r="C59" s="104" t="s">
        <v>79</v>
      </c>
      <c r="D59" s="104"/>
      <c r="E59" s="104"/>
      <c r="F59" s="104"/>
      <c r="G59" s="104"/>
      <c r="H59" s="54" t="s">
        <v>60</v>
      </c>
      <c r="I59" s="58">
        <v>48</v>
      </c>
      <c r="J59" s="55"/>
      <c r="K59" s="58">
        <v>48</v>
      </c>
      <c r="L59" s="56"/>
      <c r="M59" s="55"/>
      <c r="N59" s="56"/>
      <c r="O59" s="55"/>
      <c r="P59" s="77">
        <v>746.52249999999992</v>
      </c>
      <c r="Q59"/>
      <c r="R59"/>
      <c r="S59"/>
      <c r="T59" s="79">
        <f>T290</f>
        <v>0</v>
      </c>
      <c r="U59" s="65">
        <v>649.15</v>
      </c>
      <c r="V59"/>
      <c r="W59" s="58">
        <v>91</v>
      </c>
      <c r="X59"/>
      <c r="Y59"/>
      <c r="Z59"/>
      <c r="AA59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8"/>
      <c r="AW59" s="38"/>
      <c r="AX59" s="38"/>
      <c r="AY59" s="38"/>
      <c r="AZ59" s="6" t="s">
        <v>79</v>
      </c>
      <c r="BA59" s="38"/>
      <c r="BB59" s="6"/>
      <c r="BC59" s="6"/>
      <c r="BD59" s="6"/>
      <c r="BE59" s="6"/>
      <c r="BF59" s="6"/>
      <c r="BG59" s="6"/>
      <c r="BH59" s="6"/>
      <c r="BI59" s="6"/>
      <c r="BJ59" s="6"/>
      <c r="BK59" s="6"/>
    </row>
    <row r="60" spans="1:63" s="19" customFormat="1" ht="15" x14ac:dyDescent="0.25">
      <c r="A60" s="59"/>
      <c r="B60" s="60"/>
      <c r="C60" s="102" t="s">
        <v>63</v>
      </c>
      <c r="D60" s="102"/>
      <c r="E60" s="102"/>
      <c r="F60" s="102"/>
      <c r="G60" s="102"/>
      <c r="H60" s="41"/>
      <c r="I60" s="42"/>
      <c r="J60" s="42"/>
      <c r="K60" s="42"/>
      <c r="L60" s="45"/>
      <c r="M60" s="42"/>
      <c r="N60" s="49">
        <v>161614.5</v>
      </c>
      <c r="O60" s="42"/>
      <c r="P60" s="50">
        <v>3717.1334999999995</v>
      </c>
      <c r="Q60"/>
      <c r="R60"/>
      <c r="S60"/>
      <c r="T60" s="79">
        <f>T290</f>
        <v>0</v>
      </c>
      <c r="U60" s="50">
        <f>3232.29*(W56/K55)</f>
        <v>2154.86</v>
      </c>
      <c r="V60"/>
      <c r="W60" s="58">
        <v>48</v>
      </c>
      <c r="X60"/>
      <c r="Y60"/>
      <c r="Z60"/>
      <c r="AA60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8"/>
      <c r="AW60" s="38"/>
      <c r="AX60" s="38"/>
      <c r="AY60" s="38"/>
      <c r="AZ60" s="6"/>
      <c r="BA60" s="38" t="s">
        <v>63</v>
      </c>
      <c r="BB60" s="6"/>
      <c r="BC60" s="6"/>
      <c r="BD60" s="6"/>
      <c r="BE60" s="6"/>
      <c r="BF60" s="6"/>
      <c r="BG60" s="6"/>
      <c r="BH60" s="6"/>
      <c r="BI60" s="6"/>
      <c r="BJ60" s="6"/>
      <c r="BK60" s="6"/>
    </row>
    <row r="61" spans="1:63" s="19" customFormat="1" ht="34.5" x14ac:dyDescent="0.25">
      <c r="A61" s="39" t="s">
        <v>80</v>
      </c>
      <c r="B61" s="40" t="s">
        <v>81</v>
      </c>
      <c r="C61" s="103" t="s">
        <v>82</v>
      </c>
      <c r="D61" s="103"/>
      <c r="E61" s="103"/>
      <c r="F61" s="103"/>
      <c r="G61" s="103"/>
      <c r="H61" s="41" t="s">
        <v>83</v>
      </c>
      <c r="I61" s="42">
        <v>3</v>
      </c>
      <c r="J61" s="43">
        <v>1</v>
      </c>
      <c r="K61" s="43">
        <v>3</v>
      </c>
      <c r="L61" s="49">
        <v>3579.75</v>
      </c>
      <c r="M61" s="62">
        <v>1.41</v>
      </c>
      <c r="N61" s="49">
        <v>5047.45</v>
      </c>
      <c r="O61" s="42"/>
      <c r="P61" s="50">
        <v>11609.134999999998</v>
      </c>
      <c r="Q61"/>
      <c r="R61"/>
      <c r="S61"/>
      <c r="T61">
        <f>T290</f>
        <v>0</v>
      </c>
      <c r="U61" s="50">
        <f>U62</f>
        <v>15142.349999999999</v>
      </c>
      <c r="V61"/>
      <c r="W61" s="42"/>
      <c r="X61"/>
      <c r="Y61"/>
      <c r="Z61"/>
      <c r="AA61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8"/>
      <c r="AW61" s="38"/>
      <c r="AX61" s="38" t="s">
        <v>82</v>
      </c>
      <c r="AY61" s="38"/>
      <c r="AZ61" s="6"/>
      <c r="BA61" s="38"/>
      <c r="BB61" s="6"/>
      <c r="BC61" s="6"/>
      <c r="BD61" s="6"/>
      <c r="BE61" s="6"/>
      <c r="BF61" s="6"/>
      <c r="BG61" s="6"/>
      <c r="BH61" s="6"/>
      <c r="BI61" s="6"/>
      <c r="BJ61" s="6"/>
      <c r="BK61" s="6"/>
    </row>
    <row r="62" spans="1:63" s="19" customFormat="1" ht="15" x14ac:dyDescent="0.25">
      <c r="A62" s="59"/>
      <c r="B62" s="60"/>
      <c r="C62" s="102" t="s">
        <v>63</v>
      </c>
      <c r="D62" s="102"/>
      <c r="E62" s="102"/>
      <c r="F62" s="102"/>
      <c r="G62" s="102"/>
      <c r="H62" s="41"/>
      <c r="I62" s="42"/>
      <c r="J62" s="42"/>
      <c r="K62" s="42"/>
      <c r="L62" s="45"/>
      <c r="M62" s="42"/>
      <c r="N62" s="45"/>
      <c r="O62" s="42"/>
      <c r="P62" s="50">
        <v>11609.134999999998</v>
      </c>
      <c r="Q62"/>
      <c r="R62"/>
      <c r="S62"/>
      <c r="T62">
        <f>T290</f>
        <v>0</v>
      </c>
      <c r="U62" s="50">
        <f>10094.9*(K61/W62)</f>
        <v>15142.349999999999</v>
      </c>
      <c r="V62"/>
      <c r="W62" s="43">
        <v>2</v>
      </c>
      <c r="X62"/>
      <c r="Y62"/>
      <c r="Z62"/>
      <c r="AA62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8"/>
      <c r="AW62" s="38"/>
      <c r="AX62" s="38"/>
      <c r="AY62" s="38"/>
      <c r="AZ62" s="6"/>
      <c r="BA62" s="38" t="s">
        <v>63</v>
      </c>
      <c r="BB62" s="6"/>
      <c r="BC62" s="6"/>
      <c r="BD62" s="6"/>
      <c r="BE62" s="6"/>
      <c r="BF62" s="6"/>
      <c r="BG62" s="6"/>
      <c r="BH62" s="6"/>
      <c r="BI62" s="6"/>
      <c r="BJ62" s="6"/>
      <c r="BK62" s="6"/>
    </row>
    <row r="63" spans="1:63" s="19" customFormat="1" ht="15" x14ac:dyDescent="0.25">
      <c r="A63" s="39" t="s">
        <v>84</v>
      </c>
      <c r="B63" s="40" t="s">
        <v>85</v>
      </c>
      <c r="C63" s="103" t="s">
        <v>86</v>
      </c>
      <c r="D63" s="103"/>
      <c r="E63" s="103"/>
      <c r="F63" s="103"/>
      <c r="G63" s="103"/>
      <c r="H63" s="41" t="s">
        <v>75</v>
      </c>
      <c r="I63" s="42">
        <v>0.02</v>
      </c>
      <c r="J63" s="43">
        <v>1</v>
      </c>
      <c r="K63" s="62">
        <v>0.02</v>
      </c>
      <c r="L63" s="45"/>
      <c r="M63" s="42"/>
      <c r="N63" s="45"/>
      <c r="O63" s="42"/>
      <c r="P63" s="50"/>
      <c r="Q63"/>
      <c r="R63"/>
      <c r="S63"/>
      <c r="T63">
        <f>T290</f>
        <v>0</v>
      </c>
      <c r="U63" s="46"/>
      <c r="V63"/>
      <c r="W63" s="42"/>
      <c r="X63"/>
      <c r="Y63"/>
      <c r="Z63"/>
      <c r="AA63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38"/>
      <c r="AW63" s="38"/>
      <c r="AX63" s="38" t="s">
        <v>86</v>
      </c>
      <c r="AY63" s="38"/>
      <c r="AZ63" s="6"/>
      <c r="BA63" s="38"/>
      <c r="BB63" s="6"/>
      <c r="BC63" s="6"/>
      <c r="BD63" s="6"/>
      <c r="BE63" s="6"/>
      <c r="BF63" s="6"/>
      <c r="BG63" s="6"/>
      <c r="BH63" s="6"/>
      <c r="BI63" s="6"/>
      <c r="BJ63" s="6"/>
      <c r="BK63" s="6"/>
    </row>
    <row r="64" spans="1:63" s="19" customFormat="1" ht="15" x14ac:dyDescent="0.25">
      <c r="A64" s="47"/>
      <c r="B64" s="48"/>
      <c r="C64" s="102" t="s">
        <v>56</v>
      </c>
      <c r="D64" s="102"/>
      <c r="E64" s="102"/>
      <c r="F64" s="102"/>
      <c r="G64" s="102"/>
      <c r="H64" s="41"/>
      <c r="I64" s="42"/>
      <c r="J64" s="42"/>
      <c r="K64" s="42"/>
      <c r="L64" s="45"/>
      <c r="M64" s="42"/>
      <c r="N64" s="49"/>
      <c r="O64" s="42"/>
      <c r="P64" s="50">
        <v>216.5795</v>
      </c>
      <c r="Q64" s="51"/>
      <c r="R64" s="51"/>
      <c r="S64"/>
      <c r="T64">
        <f>T290</f>
        <v>0</v>
      </c>
      <c r="U64" s="50">
        <v>188.33</v>
      </c>
      <c r="V64"/>
      <c r="W64" s="62">
        <v>0.02</v>
      </c>
      <c r="X64"/>
      <c r="Y64"/>
      <c r="Z64"/>
      <c r="AA64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38"/>
      <c r="AW64" s="38"/>
      <c r="AX64" s="38"/>
      <c r="AY64" s="38" t="s">
        <v>56</v>
      </c>
      <c r="AZ64" s="6"/>
      <c r="BA64" s="38"/>
      <c r="BB64" s="6"/>
      <c r="BC64" s="6"/>
      <c r="BD64" s="6"/>
      <c r="BE64" s="6"/>
      <c r="BF64" s="6"/>
      <c r="BG64" s="6"/>
      <c r="BH64" s="6"/>
      <c r="BI64" s="6"/>
      <c r="BJ64" s="6"/>
      <c r="BK64" s="6"/>
    </row>
    <row r="65" spans="1:63" s="19" customFormat="1" ht="15" x14ac:dyDescent="0.25">
      <c r="A65" s="52"/>
      <c r="B65" s="53"/>
      <c r="C65" s="104" t="s">
        <v>57</v>
      </c>
      <c r="D65" s="104"/>
      <c r="E65" s="104"/>
      <c r="F65" s="104"/>
      <c r="G65" s="104"/>
      <c r="H65" s="54"/>
      <c r="I65" s="55"/>
      <c r="J65" s="55"/>
      <c r="K65" s="55"/>
      <c r="L65" s="56"/>
      <c r="M65" s="55"/>
      <c r="N65" s="56"/>
      <c r="O65" s="55"/>
      <c r="P65" s="77">
        <v>216.5795</v>
      </c>
      <c r="Q65"/>
      <c r="R65"/>
      <c r="S65"/>
      <c r="T65">
        <f>T290</f>
        <v>0</v>
      </c>
      <c r="U65" s="65">
        <v>188.33</v>
      </c>
      <c r="V65"/>
      <c r="W65" s="42"/>
      <c r="X65"/>
      <c r="Y65"/>
      <c r="Z65"/>
      <c r="AA65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38"/>
      <c r="AW65" s="38"/>
      <c r="AX65" s="38"/>
      <c r="AY65" s="38"/>
      <c r="AZ65" s="6" t="s">
        <v>57</v>
      </c>
      <c r="BA65" s="38"/>
      <c r="BB65" s="6"/>
      <c r="BC65" s="6"/>
      <c r="BD65" s="6"/>
      <c r="BE65" s="6"/>
      <c r="BF65" s="6"/>
      <c r="BG65" s="6"/>
      <c r="BH65" s="6"/>
      <c r="BI65" s="6"/>
      <c r="BJ65" s="6"/>
      <c r="BK65" s="6"/>
    </row>
    <row r="66" spans="1:63" s="19" customFormat="1" ht="15" x14ac:dyDescent="0.25">
      <c r="A66" s="52"/>
      <c r="B66" s="53" t="s">
        <v>76</v>
      </c>
      <c r="C66" s="104" t="s">
        <v>77</v>
      </c>
      <c r="D66" s="104"/>
      <c r="E66" s="104"/>
      <c r="F66" s="104"/>
      <c r="G66" s="104"/>
      <c r="H66" s="54" t="s">
        <v>60</v>
      </c>
      <c r="I66" s="58">
        <v>91</v>
      </c>
      <c r="J66" s="55"/>
      <c r="K66" s="58">
        <v>91</v>
      </c>
      <c r="L66" s="56"/>
      <c r="M66" s="55"/>
      <c r="N66" s="56"/>
      <c r="O66" s="55"/>
      <c r="P66" s="77">
        <v>197.08699999999999</v>
      </c>
      <c r="Q66"/>
      <c r="R66"/>
      <c r="S66"/>
      <c r="T66">
        <f>T290</f>
        <v>0</v>
      </c>
      <c r="U66" s="65">
        <v>171.38</v>
      </c>
      <c r="V66"/>
      <c r="W66" s="55"/>
      <c r="X66"/>
      <c r="Y66"/>
      <c r="Z66"/>
      <c r="AA6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38"/>
      <c r="AW66" s="38"/>
      <c r="AX66" s="38"/>
      <c r="AY66" s="38"/>
      <c r="AZ66" s="6" t="s">
        <v>77</v>
      </c>
      <c r="BA66" s="38"/>
      <c r="BB66" s="6"/>
      <c r="BC66" s="6"/>
      <c r="BD66" s="6"/>
      <c r="BE66" s="6"/>
      <c r="BF66" s="6"/>
      <c r="BG66" s="6"/>
      <c r="BH66" s="6"/>
      <c r="BI66" s="6"/>
      <c r="BJ66" s="6"/>
      <c r="BK66" s="6"/>
    </row>
    <row r="67" spans="1:63" s="19" customFormat="1" ht="15" x14ac:dyDescent="0.25">
      <c r="A67" s="52"/>
      <c r="B67" s="53" t="s">
        <v>78</v>
      </c>
      <c r="C67" s="104" t="s">
        <v>79</v>
      </c>
      <c r="D67" s="104"/>
      <c r="E67" s="104"/>
      <c r="F67" s="104"/>
      <c r="G67" s="104"/>
      <c r="H67" s="54" t="s">
        <v>60</v>
      </c>
      <c r="I67" s="58">
        <v>48</v>
      </c>
      <c r="J67" s="55"/>
      <c r="K67" s="58">
        <v>48</v>
      </c>
      <c r="L67" s="56"/>
      <c r="M67" s="55"/>
      <c r="N67" s="56"/>
      <c r="O67" s="55"/>
      <c r="P67" s="77">
        <v>103.96</v>
      </c>
      <c r="Q67"/>
      <c r="R67"/>
      <c r="S67"/>
      <c r="T67">
        <f>T290</f>
        <v>0</v>
      </c>
      <c r="U67" s="65">
        <v>90.4</v>
      </c>
      <c r="V67"/>
      <c r="W67" s="58">
        <v>91</v>
      </c>
      <c r="X67"/>
      <c r="Y67"/>
      <c r="Z67"/>
      <c r="AA67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38"/>
      <c r="AW67" s="38"/>
      <c r="AX67" s="38"/>
      <c r="AY67" s="38"/>
      <c r="AZ67" s="6" t="s">
        <v>79</v>
      </c>
      <c r="BA67" s="38"/>
      <c r="BB67" s="6"/>
      <c r="BC67" s="6"/>
      <c r="BD67" s="6"/>
      <c r="BE67" s="6"/>
      <c r="BF67" s="6"/>
      <c r="BG67" s="6"/>
      <c r="BH67" s="6"/>
      <c r="BI67" s="6"/>
      <c r="BJ67" s="6"/>
      <c r="BK67" s="6"/>
    </row>
    <row r="68" spans="1:63" s="19" customFormat="1" ht="15" x14ac:dyDescent="0.25">
      <c r="A68" s="59"/>
      <c r="B68" s="60"/>
      <c r="C68" s="102" t="s">
        <v>63</v>
      </c>
      <c r="D68" s="102"/>
      <c r="E68" s="102"/>
      <c r="F68" s="102"/>
      <c r="G68" s="102"/>
      <c r="H68" s="41"/>
      <c r="I68" s="42"/>
      <c r="J68" s="42"/>
      <c r="K68" s="42"/>
      <c r="L68" s="45"/>
      <c r="M68" s="42"/>
      <c r="N68" s="49">
        <v>22505.5</v>
      </c>
      <c r="O68" s="42"/>
      <c r="P68" s="50">
        <v>517.62649999999996</v>
      </c>
      <c r="Q68"/>
      <c r="R68"/>
      <c r="S68"/>
      <c r="T68">
        <f>T290</f>
        <v>0</v>
      </c>
      <c r="U68" s="63">
        <f>450.11*(K63/W64)</f>
        <v>450.11</v>
      </c>
      <c r="V68"/>
      <c r="W68" s="58">
        <v>48</v>
      </c>
      <c r="X68"/>
      <c r="Y68"/>
      <c r="Z68"/>
      <c r="AA68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38"/>
      <c r="AW68" s="38"/>
      <c r="AX68" s="38"/>
      <c r="AY68" s="38"/>
      <c r="AZ68" s="6"/>
      <c r="BA68" s="38" t="s">
        <v>63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</row>
    <row r="69" spans="1:63" s="19" customFormat="1" ht="23.25" x14ac:dyDescent="0.25">
      <c r="A69" s="39" t="s">
        <v>87</v>
      </c>
      <c r="B69" s="40" t="s">
        <v>88</v>
      </c>
      <c r="C69" s="103" t="s">
        <v>89</v>
      </c>
      <c r="D69" s="103"/>
      <c r="E69" s="103"/>
      <c r="F69" s="103"/>
      <c r="G69" s="103"/>
      <c r="H69" s="41" t="s">
        <v>83</v>
      </c>
      <c r="I69" s="42">
        <v>2</v>
      </c>
      <c r="J69" s="43">
        <v>1</v>
      </c>
      <c r="K69" s="43">
        <v>2</v>
      </c>
      <c r="L69" s="61">
        <v>42.54</v>
      </c>
      <c r="M69" s="62">
        <v>1.42</v>
      </c>
      <c r="N69" s="61">
        <v>60.41</v>
      </c>
      <c r="O69" s="42"/>
      <c r="P69" s="50">
        <v>138.94299999999998</v>
      </c>
      <c r="Q69"/>
      <c r="R69"/>
      <c r="S69"/>
      <c r="T69">
        <f>T290</f>
        <v>0</v>
      </c>
      <c r="U69" s="63">
        <f>120.82*(K69/W70)</f>
        <v>120.82</v>
      </c>
      <c r="V69"/>
      <c r="W69" s="42"/>
      <c r="X69"/>
      <c r="Y69"/>
      <c r="Z69"/>
      <c r="AA69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38"/>
      <c r="AW69" s="38"/>
      <c r="AX69" s="38" t="s">
        <v>89</v>
      </c>
      <c r="AY69" s="38"/>
      <c r="AZ69" s="6"/>
      <c r="BA69" s="38"/>
      <c r="BB69" s="6"/>
      <c r="BC69" s="6"/>
      <c r="BD69" s="6"/>
      <c r="BE69" s="6"/>
      <c r="BF69" s="6"/>
      <c r="BG69" s="6"/>
      <c r="BH69" s="6"/>
      <c r="BI69" s="6"/>
      <c r="BJ69" s="6"/>
      <c r="BK69" s="6"/>
    </row>
    <row r="70" spans="1:63" s="19" customFormat="1" ht="15" x14ac:dyDescent="0.25">
      <c r="A70" s="59"/>
      <c r="B70" s="60"/>
      <c r="C70" s="102" t="s">
        <v>63</v>
      </c>
      <c r="D70" s="102"/>
      <c r="E70" s="102"/>
      <c r="F70" s="102"/>
      <c r="G70" s="102"/>
      <c r="H70" s="41"/>
      <c r="I70" s="42"/>
      <c r="J70" s="42"/>
      <c r="K70" s="42"/>
      <c r="L70" s="45"/>
      <c r="M70" s="42"/>
      <c r="N70" s="45"/>
      <c r="O70" s="42"/>
      <c r="P70" s="50">
        <v>138.94299999999998</v>
      </c>
      <c r="Q70"/>
      <c r="R70"/>
      <c r="S70"/>
      <c r="T70">
        <f>T290</f>
        <v>0</v>
      </c>
      <c r="U70" s="63">
        <f>120.82*(K69/W70)</f>
        <v>120.82</v>
      </c>
      <c r="V70"/>
      <c r="W70" s="43">
        <v>2</v>
      </c>
      <c r="X70"/>
      <c r="Y70"/>
      <c r="Z70"/>
      <c r="AA70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38"/>
      <c r="AW70" s="38"/>
      <c r="AX70" s="38"/>
      <c r="AY70" s="38"/>
      <c r="AZ70" s="6"/>
      <c r="BA70" s="38" t="s">
        <v>63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</row>
    <row r="71" spans="1:63" s="19" customFormat="1" ht="23.25" x14ac:dyDescent="0.25">
      <c r="A71" s="39" t="s">
        <v>90</v>
      </c>
      <c r="B71" s="40" t="s">
        <v>91</v>
      </c>
      <c r="C71" s="103" t="s">
        <v>92</v>
      </c>
      <c r="D71" s="103"/>
      <c r="E71" s="103"/>
      <c r="F71" s="103"/>
      <c r="G71" s="103"/>
      <c r="H71" s="41" t="s">
        <v>93</v>
      </c>
      <c r="I71" s="42">
        <v>2E-3</v>
      </c>
      <c r="J71" s="43">
        <v>1</v>
      </c>
      <c r="K71" s="66">
        <v>2E-3</v>
      </c>
      <c r="L71" s="49">
        <v>7782.25</v>
      </c>
      <c r="M71" s="62">
        <v>0.85</v>
      </c>
      <c r="N71" s="49">
        <v>6614.91</v>
      </c>
      <c r="O71" s="42"/>
      <c r="P71" s="50">
        <v>15.214499999999999</v>
      </c>
      <c r="Q71"/>
      <c r="R71"/>
      <c r="S71"/>
      <c r="T71">
        <f>T290</f>
        <v>0</v>
      </c>
      <c r="U71" s="63">
        <f>13.23*(K71/W72)</f>
        <v>13.23</v>
      </c>
      <c r="V71"/>
      <c r="W71" s="42"/>
      <c r="X71"/>
      <c r="Y71"/>
      <c r="Z71"/>
      <c r="AA71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38"/>
      <c r="AW71" s="38"/>
      <c r="AX71" s="38" t="s">
        <v>92</v>
      </c>
      <c r="AY71" s="38"/>
      <c r="AZ71" s="6"/>
      <c r="BA71" s="38"/>
      <c r="BB71" s="6"/>
      <c r="BC71" s="6"/>
      <c r="BD71" s="6"/>
      <c r="BE71" s="6"/>
      <c r="BF71" s="6"/>
      <c r="BG71" s="6"/>
      <c r="BH71" s="6"/>
      <c r="BI71" s="6"/>
      <c r="BJ71" s="6"/>
      <c r="BK71" s="6"/>
    </row>
    <row r="72" spans="1:63" s="19" customFormat="1" ht="15" x14ac:dyDescent="0.25">
      <c r="A72" s="59"/>
      <c r="B72" s="60"/>
      <c r="C72" s="102" t="s">
        <v>63</v>
      </c>
      <c r="D72" s="102"/>
      <c r="E72" s="102"/>
      <c r="F72" s="102"/>
      <c r="G72" s="102"/>
      <c r="H72" s="41"/>
      <c r="I72" s="42"/>
      <c r="J72" s="42"/>
      <c r="K72" s="42"/>
      <c r="L72" s="45"/>
      <c r="M72" s="42"/>
      <c r="N72" s="45"/>
      <c r="O72" s="42"/>
      <c r="P72" s="50">
        <v>15.214499999999999</v>
      </c>
      <c r="Q72"/>
      <c r="R72"/>
      <c r="S72"/>
      <c r="T72">
        <f>T290</f>
        <v>0</v>
      </c>
      <c r="U72" s="63">
        <f>U71</f>
        <v>13.23</v>
      </c>
      <c r="V72"/>
      <c r="W72" s="66">
        <v>2E-3</v>
      </c>
      <c r="X72"/>
      <c r="Y72"/>
      <c r="Z72"/>
      <c r="AA72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38"/>
      <c r="AW72" s="38"/>
      <c r="AX72" s="38"/>
      <c r="AY72" s="38"/>
      <c r="AZ72" s="6"/>
      <c r="BA72" s="38" t="s">
        <v>63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</row>
    <row r="73" spans="1:63" s="19" customFormat="1" ht="15" x14ac:dyDescent="0.25">
      <c r="A73" s="107" t="s">
        <v>94</v>
      </c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9"/>
      <c r="Q73"/>
      <c r="R73"/>
      <c r="S73"/>
      <c r="T73"/>
      <c r="U73"/>
      <c r="V73"/>
      <c r="W73" s="42"/>
      <c r="X73"/>
      <c r="Y73"/>
      <c r="Z73"/>
      <c r="AA73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38"/>
      <c r="AW73" s="38" t="s">
        <v>94</v>
      </c>
      <c r="AX73" s="38"/>
      <c r="AY73" s="38"/>
      <c r="AZ73" s="6"/>
      <c r="BA73" s="38"/>
      <c r="BB73" s="6"/>
      <c r="BC73" s="6"/>
      <c r="BD73" s="6"/>
      <c r="BE73" s="6"/>
      <c r="BF73" s="6"/>
      <c r="BG73" s="6"/>
      <c r="BH73" s="6"/>
      <c r="BI73" s="6"/>
      <c r="BJ73" s="6"/>
      <c r="BK73" s="6"/>
    </row>
    <row r="74" spans="1:63" s="19" customFormat="1" ht="23.25" x14ac:dyDescent="0.25">
      <c r="A74" s="39" t="s">
        <v>95</v>
      </c>
      <c r="B74" s="40" t="s">
        <v>96</v>
      </c>
      <c r="C74" s="105" t="s">
        <v>308</v>
      </c>
      <c r="D74" s="105"/>
      <c r="E74" s="105"/>
      <c r="F74" s="105"/>
      <c r="G74" s="105"/>
      <c r="H74" s="41" t="s">
        <v>55</v>
      </c>
      <c r="I74" s="44">
        <v>2.2450000000000001E-2</v>
      </c>
      <c r="J74" s="43">
        <v>1</v>
      </c>
      <c r="K74" s="44">
        <f>I74</f>
        <v>2.2450000000000001E-2</v>
      </c>
      <c r="L74" s="45"/>
      <c r="M74" s="42"/>
      <c r="N74" s="45"/>
      <c r="O74" s="42"/>
      <c r="P74" s="46"/>
      <c r="Q74"/>
      <c r="R74"/>
      <c r="S74"/>
      <c r="T74"/>
      <c r="U74"/>
      <c r="V74"/>
      <c r="W74"/>
      <c r="X74"/>
      <c r="Y74"/>
      <c r="Z74"/>
      <c r="AA74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38"/>
      <c r="AW74" s="38"/>
      <c r="AX74" s="38" t="s">
        <v>97</v>
      </c>
      <c r="AY74" s="38"/>
      <c r="AZ74" s="6"/>
      <c r="BA74" s="38"/>
      <c r="BB74" s="6"/>
      <c r="BC74" s="6"/>
      <c r="BD74" s="6"/>
      <c r="BE74" s="6"/>
      <c r="BF74" s="6"/>
      <c r="BG74" s="6"/>
      <c r="BH74" s="6"/>
      <c r="BI74" s="6"/>
      <c r="BJ74" s="6"/>
      <c r="BK74" s="6"/>
    </row>
    <row r="75" spans="1:63" s="19" customFormat="1" ht="15" x14ac:dyDescent="0.25">
      <c r="A75" s="47"/>
      <c r="B75" s="48"/>
      <c r="C75" s="106" t="s">
        <v>56</v>
      </c>
      <c r="D75" s="106"/>
      <c r="E75" s="106"/>
      <c r="F75" s="106"/>
      <c r="G75" s="106"/>
      <c r="H75" s="41"/>
      <c r="I75" s="42"/>
      <c r="J75" s="42"/>
      <c r="K75" s="42"/>
      <c r="L75" s="45"/>
      <c r="M75" s="42"/>
      <c r="N75" s="49"/>
      <c r="O75" s="42"/>
      <c r="P75" s="50">
        <v>1167.204</v>
      </c>
      <c r="Q75" s="51"/>
      <c r="R75" s="51"/>
      <c r="S75"/>
      <c r="T75">
        <f>T290</f>
        <v>0</v>
      </c>
      <c r="U75" s="50">
        <v>1014.96</v>
      </c>
      <c r="V75"/>
      <c r="W75" s="62">
        <v>0.02</v>
      </c>
      <c r="X75"/>
      <c r="Y75"/>
      <c r="Z75"/>
      <c r="AA75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38"/>
      <c r="AW75" s="38"/>
      <c r="AX75" s="38"/>
      <c r="AY75" s="38" t="s">
        <v>56</v>
      </c>
      <c r="AZ75" s="6"/>
      <c r="BA75" s="38"/>
      <c r="BB75" s="6"/>
      <c r="BC75" s="6"/>
      <c r="BD75" s="6"/>
      <c r="BE75" s="6"/>
      <c r="BF75" s="6"/>
      <c r="BG75" s="6"/>
      <c r="BH75" s="6"/>
      <c r="BI75" s="6"/>
      <c r="BJ75" s="6"/>
      <c r="BK75" s="6"/>
    </row>
    <row r="76" spans="1:63" s="19" customFormat="1" ht="15" x14ac:dyDescent="0.25">
      <c r="A76" s="52"/>
      <c r="B76" s="53"/>
      <c r="C76" s="110" t="s">
        <v>57</v>
      </c>
      <c r="D76" s="110"/>
      <c r="E76" s="110"/>
      <c r="F76" s="110"/>
      <c r="G76" s="110"/>
      <c r="H76" s="54"/>
      <c r="I76" s="55"/>
      <c r="J76" s="55"/>
      <c r="K76" s="55"/>
      <c r="L76" s="56"/>
      <c r="M76" s="55"/>
      <c r="N76" s="56"/>
      <c r="O76" s="55"/>
      <c r="P76" s="77">
        <v>718.45099999999991</v>
      </c>
      <c r="Q76"/>
      <c r="R76"/>
      <c r="S76"/>
      <c r="T76">
        <f>T290</f>
        <v>0</v>
      </c>
      <c r="U76" s="65">
        <v>624.74</v>
      </c>
      <c r="V76"/>
      <c r="W76" s="42"/>
      <c r="X76"/>
      <c r="Y76"/>
      <c r="Z76"/>
      <c r="AA7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38"/>
      <c r="AW76" s="38"/>
      <c r="AX76" s="38"/>
      <c r="AY76" s="38"/>
      <c r="AZ76" s="6" t="s">
        <v>57</v>
      </c>
      <c r="BA76" s="38"/>
      <c r="BB76" s="6"/>
      <c r="BC76" s="6"/>
      <c r="BD76" s="6"/>
      <c r="BE76" s="6"/>
      <c r="BF76" s="6"/>
      <c r="BG76" s="6"/>
      <c r="BH76" s="6"/>
      <c r="BI76" s="6"/>
      <c r="BJ76" s="6"/>
      <c r="BK76" s="6"/>
    </row>
    <row r="77" spans="1:63" s="19" customFormat="1" ht="15" x14ac:dyDescent="0.25">
      <c r="A77" s="52"/>
      <c r="B77" s="53" t="s">
        <v>98</v>
      </c>
      <c r="C77" s="110" t="s">
        <v>99</v>
      </c>
      <c r="D77" s="110"/>
      <c r="E77" s="110"/>
      <c r="F77" s="110"/>
      <c r="G77" s="110"/>
      <c r="H77" s="54" t="s">
        <v>60</v>
      </c>
      <c r="I77" s="58">
        <v>108</v>
      </c>
      <c r="J77" s="55"/>
      <c r="K77" s="58">
        <v>108</v>
      </c>
      <c r="L77" s="56"/>
      <c r="M77" s="55"/>
      <c r="N77" s="56"/>
      <c r="O77" s="55"/>
      <c r="P77" s="77">
        <v>775.928</v>
      </c>
      <c r="Q77"/>
      <c r="R77"/>
      <c r="S77"/>
      <c r="T77">
        <f>T290</f>
        <v>0</v>
      </c>
      <c r="U77" s="65">
        <v>674.72</v>
      </c>
      <c r="V77"/>
      <c r="W77" s="55"/>
      <c r="X77"/>
      <c r="Y77"/>
      <c r="Z77"/>
      <c r="AA77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38"/>
      <c r="AW77" s="38"/>
      <c r="AX77" s="38"/>
      <c r="AY77" s="38"/>
      <c r="AZ77" s="6" t="s">
        <v>99</v>
      </c>
      <c r="BA77" s="38"/>
      <c r="BB77" s="6"/>
      <c r="BC77" s="6"/>
      <c r="BD77" s="6"/>
      <c r="BE77" s="6"/>
      <c r="BF77" s="6"/>
      <c r="BG77" s="6"/>
      <c r="BH77" s="6"/>
      <c r="BI77" s="6"/>
      <c r="BJ77" s="6"/>
      <c r="BK77" s="6"/>
    </row>
    <row r="78" spans="1:63" s="19" customFormat="1" ht="15" x14ac:dyDescent="0.25">
      <c r="A78" s="52"/>
      <c r="B78" s="53" t="s">
        <v>100</v>
      </c>
      <c r="C78" s="110" t="s">
        <v>101</v>
      </c>
      <c r="D78" s="110"/>
      <c r="E78" s="110"/>
      <c r="F78" s="110"/>
      <c r="G78" s="110"/>
      <c r="H78" s="54" t="s">
        <v>60</v>
      </c>
      <c r="I78" s="58">
        <v>55</v>
      </c>
      <c r="J78" s="55"/>
      <c r="K78" s="58">
        <v>55</v>
      </c>
      <c r="L78" s="56"/>
      <c r="M78" s="55"/>
      <c r="N78" s="56"/>
      <c r="O78" s="55"/>
      <c r="P78" s="77">
        <v>395.1515</v>
      </c>
      <c r="Q78"/>
      <c r="R78"/>
      <c r="S78"/>
      <c r="T78">
        <f>T290</f>
        <v>0</v>
      </c>
      <c r="U78" s="65">
        <v>343.61</v>
      </c>
      <c r="V78"/>
      <c r="W78" s="58">
        <v>108</v>
      </c>
      <c r="X78"/>
      <c r="Y78"/>
      <c r="Z78"/>
      <c r="AA78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38"/>
      <c r="AW78" s="38"/>
      <c r="AX78" s="38"/>
      <c r="AY78" s="38"/>
      <c r="AZ78" s="6" t="s">
        <v>101</v>
      </c>
      <c r="BA78" s="38"/>
      <c r="BB78" s="6"/>
      <c r="BC78" s="6"/>
      <c r="BD78" s="6"/>
      <c r="BE78" s="6"/>
      <c r="BF78" s="6"/>
      <c r="BG78" s="6"/>
      <c r="BH78" s="6"/>
      <c r="BI78" s="6"/>
      <c r="BJ78" s="6"/>
      <c r="BK78" s="6"/>
    </row>
    <row r="79" spans="1:63" s="19" customFormat="1" ht="15" x14ac:dyDescent="0.25">
      <c r="A79" s="59"/>
      <c r="B79" s="60"/>
      <c r="C79" s="106" t="s">
        <v>63</v>
      </c>
      <c r="D79" s="106"/>
      <c r="E79" s="106"/>
      <c r="F79" s="106"/>
      <c r="G79" s="106"/>
      <c r="H79" s="41"/>
      <c r="I79" s="42"/>
      <c r="J79" s="42"/>
      <c r="K79" s="42"/>
      <c r="L79" s="45"/>
      <c r="M79" s="42"/>
      <c r="N79" s="49">
        <v>101664.5</v>
      </c>
      <c r="O79" s="42"/>
      <c r="P79" s="50">
        <v>2333.0873144444445</v>
      </c>
      <c r="Q79"/>
      <c r="R79"/>
      <c r="S79"/>
      <c r="T79">
        <f>T290</f>
        <v>0</v>
      </c>
      <c r="U79" s="50">
        <f>2033.29*(K74/0.0225)</f>
        <v>2028.771577777778</v>
      </c>
      <c r="V79"/>
      <c r="W79" s="58">
        <v>55</v>
      </c>
      <c r="X79"/>
      <c r="Y79"/>
      <c r="Z79"/>
      <c r="AA79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38"/>
      <c r="AW79" s="38"/>
      <c r="AX79" s="38"/>
      <c r="AY79" s="38"/>
      <c r="AZ79" s="6"/>
      <c r="BA79" s="38" t="s">
        <v>63</v>
      </c>
      <c r="BB79" s="6"/>
      <c r="BC79" s="6"/>
      <c r="BD79" s="6"/>
      <c r="BE79" s="6"/>
      <c r="BF79" s="6"/>
      <c r="BG79" s="6"/>
      <c r="BH79" s="6"/>
      <c r="BI79" s="6"/>
      <c r="BJ79" s="6"/>
      <c r="BK79" s="6"/>
    </row>
    <row r="80" spans="1:63" s="19" customFormat="1" ht="15" x14ac:dyDescent="0.25">
      <c r="A80" s="39" t="s">
        <v>102</v>
      </c>
      <c r="B80" s="40" t="s">
        <v>103</v>
      </c>
      <c r="C80" s="105" t="s">
        <v>309</v>
      </c>
      <c r="D80" s="105"/>
      <c r="E80" s="105"/>
      <c r="F80" s="105"/>
      <c r="G80" s="105"/>
      <c r="H80" s="41" t="s">
        <v>83</v>
      </c>
      <c r="I80" s="42">
        <v>15</v>
      </c>
      <c r="J80" s="43">
        <v>1</v>
      </c>
      <c r="K80" s="67">
        <v>15</v>
      </c>
      <c r="L80" s="61">
        <v>92.12</v>
      </c>
      <c r="M80" s="62">
        <v>1.48</v>
      </c>
      <c r="N80" s="61">
        <v>136.34</v>
      </c>
      <c r="O80" s="42"/>
      <c r="P80" s="50">
        <v>2629.2565</v>
      </c>
      <c r="Q80"/>
      <c r="R80"/>
      <c r="S80"/>
      <c r="T80">
        <f>T290</f>
        <v>0</v>
      </c>
      <c r="U80" s="63">
        <f>2286.31*(K80/W80)</f>
        <v>2286.31</v>
      </c>
      <c r="V80"/>
      <c r="W80" s="42">
        <v>15</v>
      </c>
      <c r="X80"/>
      <c r="Y80"/>
      <c r="Z80"/>
      <c r="AA80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38"/>
      <c r="AW80" s="38"/>
      <c r="AX80" s="38" t="s">
        <v>104</v>
      </c>
      <c r="AY80" s="38"/>
      <c r="AZ80" s="6"/>
      <c r="BA80" s="38"/>
      <c r="BB80" s="6"/>
      <c r="BC80" s="6"/>
      <c r="BD80" s="6"/>
      <c r="BE80" s="6"/>
      <c r="BF80" s="6"/>
      <c r="BG80" s="6"/>
      <c r="BH80" s="6"/>
      <c r="BI80" s="6"/>
      <c r="BJ80" s="6"/>
      <c r="BK80" s="6"/>
    </row>
    <row r="81" spans="1:63" s="19" customFormat="1" ht="15" x14ac:dyDescent="0.25">
      <c r="A81" s="59"/>
      <c r="B81" s="60"/>
      <c r="C81" s="102" t="s">
        <v>63</v>
      </c>
      <c r="D81" s="102"/>
      <c r="E81" s="102"/>
      <c r="F81" s="102"/>
      <c r="G81" s="102"/>
      <c r="H81" s="41"/>
      <c r="I81" s="42"/>
      <c r="J81" s="42"/>
      <c r="K81" s="42"/>
      <c r="L81" s="45"/>
      <c r="M81" s="42"/>
      <c r="N81" s="45"/>
      <c r="O81" s="42"/>
      <c r="P81" s="50">
        <v>2629.2565</v>
      </c>
      <c r="Q81"/>
      <c r="R81"/>
      <c r="S81"/>
      <c r="T81">
        <f>T290</f>
        <v>0</v>
      </c>
      <c r="U81" s="63">
        <f>U80</f>
        <v>2286.31</v>
      </c>
      <c r="V81"/>
      <c r="W81" s="67">
        <v>15</v>
      </c>
      <c r="X81"/>
      <c r="Y81"/>
      <c r="Z81"/>
      <c r="AA81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38"/>
      <c r="AW81" s="38"/>
      <c r="AX81" s="38"/>
      <c r="AY81" s="38"/>
      <c r="AZ81" s="6"/>
      <c r="BA81" s="38" t="s">
        <v>63</v>
      </c>
      <c r="BB81" s="6"/>
      <c r="BC81" s="6"/>
      <c r="BD81" s="6"/>
      <c r="BE81" s="6"/>
      <c r="BF81" s="6"/>
      <c r="BG81" s="6"/>
      <c r="BH81" s="6"/>
      <c r="BI81" s="6"/>
      <c r="BJ81" s="6"/>
      <c r="BK81" s="6"/>
    </row>
    <row r="82" spans="1:63" s="19" customFormat="1" ht="23.25" x14ac:dyDescent="0.25">
      <c r="A82" s="39" t="s">
        <v>106</v>
      </c>
      <c r="B82" s="40" t="s">
        <v>107</v>
      </c>
      <c r="C82" s="103" t="s">
        <v>108</v>
      </c>
      <c r="D82" s="103"/>
      <c r="E82" s="103"/>
      <c r="F82" s="103"/>
      <c r="G82" s="103"/>
      <c r="H82" s="41" t="s">
        <v>55</v>
      </c>
      <c r="I82" s="42">
        <v>0.13639999999999999</v>
      </c>
      <c r="J82" s="43">
        <v>1</v>
      </c>
      <c r="K82" s="44">
        <v>0.13639999999999999</v>
      </c>
      <c r="L82" s="45"/>
      <c r="M82" s="42"/>
      <c r="N82" s="45"/>
      <c r="O82" s="42"/>
      <c r="P82" s="50"/>
      <c r="Q82"/>
      <c r="R82"/>
      <c r="S82"/>
      <c r="T82"/>
      <c r="U82" s="46"/>
      <c r="V82"/>
      <c r="W82" s="42"/>
      <c r="X82"/>
      <c r="Y82"/>
      <c r="Z82"/>
      <c r="AA82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38"/>
      <c r="AW82" s="38"/>
      <c r="AX82" s="38" t="s">
        <v>108</v>
      </c>
      <c r="AY82" s="38"/>
      <c r="AZ82" s="6"/>
      <c r="BA82" s="38"/>
      <c r="BB82" s="6"/>
      <c r="BC82" s="6"/>
      <c r="BD82" s="6"/>
      <c r="BE82" s="6"/>
      <c r="BF82" s="6"/>
      <c r="BG82" s="6"/>
      <c r="BH82" s="6"/>
      <c r="BI82" s="6"/>
      <c r="BJ82" s="6"/>
      <c r="BK82" s="6"/>
    </row>
    <row r="83" spans="1:63" s="19" customFormat="1" ht="15" x14ac:dyDescent="0.25">
      <c r="A83" s="47"/>
      <c r="B83" s="48"/>
      <c r="C83" s="102" t="s">
        <v>56</v>
      </c>
      <c r="D83" s="102"/>
      <c r="E83" s="102"/>
      <c r="F83" s="102"/>
      <c r="G83" s="102"/>
      <c r="H83" s="41"/>
      <c r="I83" s="42"/>
      <c r="J83" s="42"/>
      <c r="K83" s="42"/>
      <c r="L83" s="45"/>
      <c r="M83" s="42"/>
      <c r="N83" s="49"/>
      <c r="O83" s="42"/>
      <c r="P83" s="50">
        <v>305.78499999999997</v>
      </c>
      <c r="Q83" s="51"/>
      <c r="R83" s="51"/>
      <c r="S83"/>
      <c r="T83">
        <f>T290</f>
        <v>0</v>
      </c>
      <c r="U83" s="50">
        <v>265.89999999999998</v>
      </c>
      <c r="V83"/>
      <c r="W83" s="44">
        <v>0.13639999999999999</v>
      </c>
      <c r="X83"/>
      <c r="Y83"/>
      <c r="Z83"/>
      <c r="AA83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38"/>
      <c r="AW83" s="38"/>
      <c r="AX83" s="38"/>
      <c r="AY83" s="38" t="s">
        <v>56</v>
      </c>
      <c r="AZ83" s="6"/>
      <c r="BA83" s="38"/>
      <c r="BB83" s="6"/>
      <c r="BC83" s="6"/>
      <c r="BD83" s="6"/>
      <c r="BE83" s="6"/>
      <c r="BF83" s="6"/>
      <c r="BG83" s="6"/>
      <c r="BH83" s="6"/>
      <c r="BI83" s="6"/>
      <c r="BJ83" s="6"/>
      <c r="BK83" s="6"/>
    </row>
    <row r="84" spans="1:63" s="19" customFormat="1" ht="15" x14ac:dyDescent="0.25">
      <c r="A84" s="52"/>
      <c r="B84" s="53"/>
      <c r="C84" s="104" t="s">
        <v>57</v>
      </c>
      <c r="D84" s="104"/>
      <c r="E84" s="104"/>
      <c r="F84" s="104"/>
      <c r="G84" s="104"/>
      <c r="H84" s="54"/>
      <c r="I84" s="55"/>
      <c r="J84" s="55"/>
      <c r="K84" s="55"/>
      <c r="L84" s="56"/>
      <c r="M84" s="55"/>
      <c r="N84" s="56"/>
      <c r="O84" s="55"/>
      <c r="P84" s="77">
        <v>303.11699999999996</v>
      </c>
      <c r="Q84"/>
      <c r="R84"/>
      <c r="S84"/>
      <c r="T84">
        <f>T290</f>
        <v>0</v>
      </c>
      <c r="U84" s="65">
        <v>263.58</v>
      </c>
      <c r="V84"/>
      <c r="W84" s="42"/>
      <c r="X84"/>
      <c r="Y84"/>
      <c r="Z84"/>
      <c r="AA84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38"/>
      <c r="AW84" s="38"/>
      <c r="AX84" s="38"/>
      <c r="AY84" s="38"/>
      <c r="AZ84" s="6" t="s">
        <v>57</v>
      </c>
      <c r="BA84" s="38"/>
      <c r="BB84" s="6"/>
      <c r="BC84" s="6"/>
      <c r="BD84" s="6"/>
      <c r="BE84" s="6"/>
      <c r="BF84" s="6"/>
      <c r="BG84" s="6"/>
      <c r="BH84" s="6"/>
      <c r="BI84" s="6"/>
      <c r="BJ84" s="6"/>
      <c r="BK84" s="6"/>
    </row>
    <row r="85" spans="1:63" s="19" customFormat="1" ht="15" x14ac:dyDescent="0.25">
      <c r="A85" s="52"/>
      <c r="B85" s="53" t="s">
        <v>58</v>
      </c>
      <c r="C85" s="104" t="s">
        <v>59</v>
      </c>
      <c r="D85" s="104"/>
      <c r="E85" s="104"/>
      <c r="F85" s="104"/>
      <c r="G85" s="104"/>
      <c r="H85" s="54" t="s">
        <v>60</v>
      </c>
      <c r="I85" s="58">
        <v>100</v>
      </c>
      <c r="J85" s="55"/>
      <c r="K85" s="58">
        <v>100</v>
      </c>
      <c r="L85" s="56"/>
      <c r="M85" s="55"/>
      <c r="N85" s="56"/>
      <c r="O85" s="55"/>
      <c r="P85" s="77">
        <v>303.11699999999996</v>
      </c>
      <c r="Q85"/>
      <c r="R85"/>
      <c r="S85"/>
      <c r="T85">
        <f>T290</f>
        <v>0</v>
      </c>
      <c r="U85" s="65">
        <v>263.58</v>
      </c>
      <c r="V85"/>
      <c r="W85" s="55"/>
      <c r="X85"/>
      <c r="Y85"/>
      <c r="Z85"/>
      <c r="AA85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38"/>
      <c r="AW85" s="38"/>
      <c r="AX85" s="38"/>
      <c r="AY85" s="38"/>
      <c r="AZ85" s="6" t="s">
        <v>59</v>
      </c>
      <c r="BA85" s="38"/>
      <c r="BB85" s="6"/>
      <c r="BC85" s="6"/>
      <c r="BD85" s="6"/>
      <c r="BE85" s="6"/>
      <c r="BF85" s="6"/>
      <c r="BG85" s="6"/>
      <c r="BH85" s="6"/>
      <c r="BI85" s="6"/>
      <c r="BJ85" s="6"/>
      <c r="BK85" s="6"/>
    </row>
    <row r="86" spans="1:63" s="19" customFormat="1" ht="15" x14ac:dyDescent="0.25">
      <c r="A86" s="52"/>
      <c r="B86" s="53" t="s">
        <v>61</v>
      </c>
      <c r="C86" s="104" t="s">
        <v>62</v>
      </c>
      <c r="D86" s="104"/>
      <c r="E86" s="104"/>
      <c r="F86" s="104"/>
      <c r="G86" s="104"/>
      <c r="H86" s="54" t="s">
        <v>60</v>
      </c>
      <c r="I86" s="58">
        <v>49</v>
      </c>
      <c r="J86" s="55"/>
      <c r="K86" s="58">
        <v>49</v>
      </c>
      <c r="L86" s="56"/>
      <c r="M86" s="55"/>
      <c r="N86" s="56"/>
      <c r="O86" s="55"/>
      <c r="P86" s="77">
        <v>148.52250000000001</v>
      </c>
      <c r="Q86"/>
      <c r="R86"/>
      <c r="S86"/>
      <c r="T86">
        <f>T290</f>
        <v>0</v>
      </c>
      <c r="U86" s="65">
        <v>129.15</v>
      </c>
      <c r="V86"/>
      <c r="W86" s="58">
        <v>100</v>
      </c>
      <c r="X86"/>
      <c r="Y86"/>
      <c r="Z86"/>
      <c r="AA8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38"/>
      <c r="AW86" s="38"/>
      <c r="AX86" s="38"/>
      <c r="AY86" s="38"/>
      <c r="AZ86" s="6" t="s">
        <v>62</v>
      </c>
      <c r="BA86" s="38"/>
      <c r="BB86" s="6"/>
      <c r="BC86" s="6"/>
      <c r="BD86" s="6"/>
      <c r="BE86" s="6"/>
      <c r="BF86" s="6"/>
      <c r="BG86" s="6"/>
      <c r="BH86" s="6"/>
      <c r="BI86" s="6"/>
      <c r="BJ86" s="6"/>
      <c r="BK86" s="6"/>
    </row>
    <row r="87" spans="1:63" s="19" customFormat="1" ht="15" x14ac:dyDescent="0.25">
      <c r="A87" s="59"/>
      <c r="B87" s="60"/>
      <c r="C87" s="102" t="s">
        <v>63</v>
      </c>
      <c r="D87" s="102"/>
      <c r="E87" s="102"/>
      <c r="F87" s="102"/>
      <c r="G87" s="102"/>
      <c r="H87" s="41"/>
      <c r="I87" s="42"/>
      <c r="J87" s="42"/>
      <c r="K87" s="42"/>
      <c r="L87" s="45"/>
      <c r="M87" s="42"/>
      <c r="N87" s="49">
        <v>4828.67</v>
      </c>
      <c r="O87" s="42"/>
      <c r="P87" s="50">
        <v>757.42449999999997</v>
      </c>
      <c r="Q87"/>
      <c r="R87"/>
      <c r="S87"/>
      <c r="T87">
        <f>T290</f>
        <v>0</v>
      </c>
      <c r="U87" s="63">
        <f>658.63*(K82/W83)</f>
        <v>658.63</v>
      </c>
      <c r="V87"/>
      <c r="W87" s="58">
        <v>49</v>
      </c>
      <c r="X87"/>
      <c r="Y87"/>
      <c r="Z87"/>
      <c r="AA87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38"/>
      <c r="AW87" s="38"/>
      <c r="AX87" s="38"/>
      <c r="AY87" s="38"/>
      <c r="AZ87" s="6"/>
      <c r="BA87" s="38" t="s">
        <v>63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</row>
    <row r="88" spans="1:63" s="19" customFormat="1" ht="15" x14ac:dyDescent="0.25">
      <c r="A88" s="39" t="s">
        <v>109</v>
      </c>
      <c r="B88" s="40" t="s">
        <v>110</v>
      </c>
      <c r="C88" s="103" t="s">
        <v>111</v>
      </c>
      <c r="D88" s="103"/>
      <c r="E88" s="103"/>
      <c r="F88" s="103"/>
      <c r="G88" s="103"/>
      <c r="H88" s="41" t="s">
        <v>67</v>
      </c>
      <c r="I88" s="42">
        <v>1.4049</v>
      </c>
      <c r="J88" s="43">
        <v>1</v>
      </c>
      <c r="K88" s="44">
        <v>1.4049</v>
      </c>
      <c r="L88" s="61">
        <v>65.84</v>
      </c>
      <c r="M88" s="67">
        <v>1.2</v>
      </c>
      <c r="N88" s="61">
        <v>79.010000000000005</v>
      </c>
      <c r="O88" s="42"/>
      <c r="P88" s="50">
        <v>127.64999999999999</v>
      </c>
      <c r="Q88"/>
      <c r="R88"/>
      <c r="S88"/>
      <c r="T88">
        <f>T290</f>
        <v>0</v>
      </c>
      <c r="U88" s="63">
        <f>111*(K88/W89)</f>
        <v>111</v>
      </c>
      <c r="V88"/>
      <c r="W88" s="42"/>
      <c r="X88"/>
      <c r="Y88"/>
      <c r="Z88"/>
      <c r="AA88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38"/>
      <c r="AW88" s="38"/>
      <c r="AX88" s="38" t="s">
        <v>111</v>
      </c>
      <c r="AY88" s="38"/>
      <c r="AZ88" s="6"/>
      <c r="BA88" s="38"/>
      <c r="BB88" s="6"/>
      <c r="BC88" s="6"/>
      <c r="BD88" s="6"/>
      <c r="BE88" s="6"/>
      <c r="BF88" s="6"/>
      <c r="BG88" s="6"/>
      <c r="BH88" s="6"/>
      <c r="BI88" s="6"/>
      <c r="BJ88" s="6"/>
      <c r="BK88" s="6"/>
    </row>
    <row r="89" spans="1:63" s="19" customFormat="1" ht="15" x14ac:dyDescent="0.25">
      <c r="A89" s="59"/>
      <c r="B89" s="60"/>
      <c r="C89" s="102" t="s">
        <v>63</v>
      </c>
      <c r="D89" s="102"/>
      <c r="E89" s="102"/>
      <c r="F89" s="102"/>
      <c r="G89" s="102"/>
      <c r="H89" s="41"/>
      <c r="I89" s="42"/>
      <c r="J89" s="42"/>
      <c r="K89" s="42"/>
      <c r="L89" s="45"/>
      <c r="M89" s="42"/>
      <c r="N89" s="45"/>
      <c r="O89" s="42"/>
      <c r="P89" s="50">
        <v>127.64999999999999</v>
      </c>
      <c r="Q89"/>
      <c r="R89"/>
      <c r="S89"/>
      <c r="T89">
        <f>T290</f>
        <v>0</v>
      </c>
      <c r="U89" s="63">
        <f>U88</f>
        <v>111</v>
      </c>
      <c r="V89"/>
      <c r="W89" s="44">
        <v>1.4049</v>
      </c>
      <c r="X89"/>
      <c r="Y89"/>
      <c r="Z89"/>
      <c r="AA89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38"/>
      <c r="AW89" s="38"/>
      <c r="AX89" s="38"/>
      <c r="AY89" s="38"/>
      <c r="AZ89" s="6"/>
      <c r="BA89" s="38" t="s">
        <v>63</v>
      </c>
      <c r="BB89" s="6"/>
      <c r="BC89" s="6"/>
      <c r="BD89" s="6"/>
      <c r="BE89" s="6"/>
      <c r="BF89" s="6"/>
      <c r="BG89" s="6"/>
      <c r="BH89" s="6"/>
      <c r="BI89" s="6"/>
      <c r="BJ89" s="6"/>
      <c r="BK89" s="6"/>
    </row>
    <row r="90" spans="1:63" s="19" customFormat="1" ht="34.5" x14ac:dyDescent="0.25">
      <c r="A90" s="39" t="s">
        <v>112</v>
      </c>
      <c r="B90" s="40" t="s">
        <v>113</v>
      </c>
      <c r="C90" s="103" t="s">
        <v>114</v>
      </c>
      <c r="D90" s="103"/>
      <c r="E90" s="103"/>
      <c r="F90" s="103"/>
      <c r="G90" s="103"/>
      <c r="H90" s="41" t="s">
        <v>55</v>
      </c>
      <c r="I90" s="42">
        <v>0.13639999999999999</v>
      </c>
      <c r="J90" s="43">
        <v>1</v>
      </c>
      <c r="K90" s="44">
        <v>0.13639999999999999</v>
      </c>
      <c r="L90" s="45"/>
      <c r="M90" s="42"/>
      <c r="N90" s="45"/>
      <c r="O90" s="42"/>
      <c r="P90" s="50"/>
      <c r="Q90"/>
      <c r="R90"/>
      <c r="S90"/>
      <c r="T90"/>
      <c r="U90" s="46"/>
      <c r="V90"/>
      <c r="W90" s="42"/>
      <c r="X90"/>
      <c r="Y90"/>
      <c r="Z90"/>
      <c r="AA90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38"/>
      <c r="AW90" s="38"/>
      <c r="AX90" s="38" t="s">
        <v>114</v>
      </c>
      <c r="AY90" s="38"/>
      <c r="AZ90" s="6"/>
      <c r="BA90" s="38"/>
      <c r="BB90" s="6"/>
      <c r="BC90" s="6"/>
      <c r="BD90" s="6"/>
      <c r="BE90" s="6"/>
      <c r="BF90" s="6"/>
      <c r="BG90" s="6"/>
      <c r="BH90" s="6"/>
      <c r="BI90" s="6"/>
      <c r="BJ90" s="6"/>
      <c r="BK90" s="6"/>
    </row>
    <row r="91" spans="1:63" s="19" customFormat="1" ht="15" x14ac:dyDescent="0.25">
      <c r="A91" s="47"/>
      <c r="B91" s="48"/>
      <c r="C91" s="102" t="s">
        <v>56</v>
      </c>
      <c r="D91" s="102"/>
      <c r="E91" s="102"/>
      <c r="F91" s="102"/>
      <c r="G91" s="102"/>
      <c r="H91" s="41"/>
      <c r="I91" s="42"/>
      <c r="J91" s="42"/>
      <c r="K91" s="42"/>
      <c r="L91" s="45"/>
      <c r="M91" s="42"/>
      <c r="N91" s="49"/>
      <c r="O91" s="42"/>
      <c r="P91" s="50">
        <v>1936.8874999999998</v>
      </c>
      <c r="Q91" s="51"/>
      <c r="R91" s="51"/>
      <c r="S91"/>
      <c r="T91">
        <f>T290</f>
        <v>0</v>
      </c>
      <c r="U91" s="50">
        <v>1684.25</v>
      </c>
      <c r="V91"/>
      <c r="W91" s="44">
        <v>0.13639999999999999</v>
      </c>
      <c r="X91"/>
      <c r="Y91"/>
      <c r="Z91"/>
      <c r="AA91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38"/>
      <c r="AW91" s="38"/>
      <c r="AX91" s="38"/>
      <c r="AY91" s="38" t="s">
        <v>56</v>
      </c>
      <c r="AZ91" s="6"/>
      <c r="BA91" s="38"/>
      <c r="BB91" s="6"/>
      <c r="BC91" s="6"/>
      <c r="BD91" s="6"/>
      <c r="BE91" s="6"/>
      <c r="BF91" s="6"/>
      <c r="BG91" s="6"/>
      <c r="BH91" s="6"/>
      <c r="BI91" s="6"/>
      <c r="BJ91" s="6"/>
      <c r="BK91" s="6"/>
    </row>
    <row r="92" spans="1:63" s="19" customFormat="1" ht="15" x14ac:dyDescent="0.25">
      <c r="A92" s="52"/>
      <c r="B92" s="53"/>
      <c r="C92" s="104" t="s">
        <v>57</v>
      </c>
      <c r="D92" s="104"/>
      <c r="E92" s="104"/>
      <c r="F92" s="104"/>
      <c r="G92" s="104"/>
      <c r="H92" s="54"/>
      <c r="I92" s="55"/>
      <c r="J92" s="55"/>
      <c r="K92" s="55"/>
      <c r="L92" s="56"/>
      <c r="M92" s="55"/>
      <c r="N92" s="56"/>
      <c r="O92" s="55"/>
      <c r="P92" s="77">
        <v>1927.2504999999996</v>
      </c>
      <c r="Q92"/>
      <c r="R92"/>
      <c r="S92"/>
      <c r="T92">
        <f>T290</f>
        <v>0</v>
      </c>
      <c r="U92" s="57">
        <v>1675.87</v>
      </c>
      <c r="V92"/>
      <c r="W92" s="42"/>
      <c r="X92"/>
      <c r="Y92"/>
      <c r="Z92"/>
      <c r="AA92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38"/>
      <c r="AW92" s="38"/>
      <c r="AX92" s="38"/>
      <c r="AY92" s="38"/>
      <c r="AZ92" s="6" t="s">
        <v>57</v>
      </c>
      <c r="BA92" s="38"/>
      <c r="BB92" s="6"/>
      <c r="BC92" s="6"/>
      <c r="BD92" s="6"/>
      <c r="BE92" s="6"/>
      <c r="BF92" s="6"/>
      <c r="BG92" s="6"/>
      <c r="BH92" s="6"/>
      <c r="BI92" s="6"/>
      <c r="BJ92" s="6"/>
      <c r="BK92" s="6"/>
    </row>
    <row r="93" spans="1:63" s="19" customFormat="1" ht="15" x14ac:dyDescent="0.25">
      <c r="A93" s="52"/>
      <c r="B93" s="53" t="s">
        <v>58</v>
      </c>
      <c r="C93" s="104" t="s">
        <v>59</v>
      </c>
      <c r="D93" s="104"/>
      <c r="E93" s="104"/>
      <c r="F93" s="104"/>
      <c r="G93" s="104"/>
      <c r="H93" s="54" t="s">
        <v>60</v>
      </c>
      <c r="I93" s="58">
        <v>100</v>
      </c>
      <c r="J93" s="55"/>
      <c r="K93" s="58">
        <v>100</v>
      </c>
      <c r="L93" s="56"/>
      <c r="M93" s="55"/>
      <c r="N93" s="56"/>
      <c r="O93" s="55"/>
      <c r="P93" s="77">
        <v>1927.2504999999996</v>
      </c>
      <c r="Q93"/>
      <c r="R93"/>
      <c r="S93"/>
      <c r="T93">
        <f>T290</f>
        <v>0</v>
      </c>
      <c r="U93" s="57">
        <v>1675.87</v>
      </c>
      <c r="V93"/>
      <c r="W93" s="55"/>
      <c r="X93"/>
      <c r="Y93"/>
      <c r="Z93"/>
      <c r="AA93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38"/>
      <c r="AW93" s="38"/>
      <c r="AX93" s="38"/>
      <c r="AY93" s="38"/>
      <c r="AZ93" s="6" t="s">
        <v>59</v>
      </c>
      <c r="BA93" s="38"/>
      <c r="BB93" s="6"/>
      <c r="BC93" s="6"/>
      <c r="BD93" s="6"/>
      <c r="BE93" s="6"/>
      <c r="BF93" s="6"/>
      <c r="BG93" s="6"/>
      <c r="BH93" s="6"/>
      <c r="BI93" s="6"/>
      <c r="BJ93" s="6"/>
      <c r="BK93" s="6"/>
    </row>
    <row r="94" spans="1:63" s="19" customFormat="1" ht="15" x14ac:dyDescent="0.25">
      <c r="A94" s="52"/>
      <c r="B94" s="53" t="s">
        <v>61</v>
      </c>
      <c r="C94" s="104" t="s">
        <v>62</v>
      </c>
      <c r="D94" s="104"/>
      <c r="E94" s="104"/>
      <c r="F94" s="104"/>
      <c r="G94" s="104"/>
      <c r="H94" s="54" t="s">
        <v>60</v>
      </c>
      <c r="I94" s="58">
        <v>49</v>
      </c>
      <c r="J94" s="55"/>
      <c r="K94" s="58">
        <v>49</v>
      </c>
      <c r="L94" s="56"/>
      <c r="M94" s="55"/>
      <c r="N94" s="56"/>
      <c r="O94" s="55"/>
      <c r="P94" s="77">
        <v>944.35699999999986</v>
      </c>
      <c r="Q94"/>
      <c r="R94"/>
      <c r="S94"/>
      <c r="T94">
        <f>T290</f>
        <v>0</v>
      </c>
      <c r="U94" s="65">
        <v>821.18</v>
      </c>
      <c r="V94"/>
      <c r="W94" s="58">
        <v>100</v>
      </c>
      <c r="X94"/>
      <c r="Y94"/>
      <c r="Z94"/>
      <c r="AA94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38"/>
      <c r="AW94" s="38"/>
      <c r="AX94" s="38"/>
      <c r="AY94" s="38"/>
      <c r="AZ94" s="6" t="s">
        <v>62</v>
      </c>
      <c r="BA94" s="38"/>
      <c r="BB94" s="6"/>
      <c r="BC94" s="6"/>
      <c r="BD94" s="6"/>
      <c r="BE94" s="6"/>
      <c r="BF94" s="6"/>
      <c r="BG94" s="6"/>
      <c r="BH94" s="6"/>
      <c r="BI94" s="6"/>
      <c r="BJ94" s="6"/>
      <c r="BK94" s="6"/>
    </row>
    <row r="95" spans="1:63" s="19" customFormat="1" ht="15" x14ac:dyDescent="0.25">
      <c r="A95" s="59"/>
      <c r="B95" s="60"/>
      <c r="C95" s="102" t="s">
        <v>63</v>
      </c>
      <c r="D95" s="102"/>
      <c r="E95" s="102"/>
      <c r="F95" s="102"/>
      <c r="G95" s="102"/>
      <c r="H95" s="41"/>
      <c r="I95" s="42"/>
      <c r="J95" s="42"/>
      <c r="K95" s="42"/>
      <c r="L95" s="45"/>
      <c r="M95" s="42"/>
      <c r="N95" s="49">
        <v>30654.69</v>
      </c>
      <c r="O95" s="42"/>
      <c r="P95" s="50">
        <v>4808.4949999999999</v>
      </c>
      <c r="Q95"/>
      <c r="R95"/>
      <c r="S95"/>
      <c r="T95">
        <f>T290</f>
        <v>0</v>
      </c>
      <c r="U95" s="50">
        <f>4181.3*(K90/W91)</f>
        <v>4181.3</v>
      </c>
      <c r="V95"/>
      <c r="W95" s="58">
        <v>49</v>
      </c>
      <c r="X95"/>
      <c r="Y95"/>
      <c r="Z95"/>
      <c r="AA95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38"/>
      <c r="AW95" s="38"/>
      <c r="AX95" s="38"/>
      <c r="AY95" s="38"/>
      <c r="AZ95" s="6"/>
      <c r="BA95" s="38" t="s">
        <v>63</v>
      </c>
      <c r="BB95" s="6"/>
      <c r="BC95" s="6"/>
      <c r="BD95" s="6"/>
      <c r="BE95" s="6"/>
      <c r="BF95" s="6"/>
      <c r="BG95" s="6"/>
      <c r="BH95" s="6"/>
      <c r="BI95" s="6"/>
      <c r="BJ95" s="6"/>
      <c r="BK95" s="6"/>
    </row>
    <row r="96" spans="1:63" s="19" customFormat="1" ht="34.5" x14ac:dyDescent="0.25">
      <c r="A96" s="39" t="s">
        <v>115</v>
      </c>
      <c r="B96" s="40" t="s">
        <v>116</v>
      </c>
      <c r="C96" s="103" t="s">
        <v>117</v>
      </c>
      <c r="D96" s="103"/>
      <c r="E96" s="103"/>
      <c r="F96" s="103"/>
      <c r="G96" s="103"/>
      <c r="H96" s="41" t="s">
        <v>67</v>
      </c>
      <c r="I96" s="42">
        <v>115.94</v>
      </c>
      <c r="J96" s="43">
        <v>1</v>
      </c>
      <c r="K96" s="62">
        <v>115.94</v>
      </c>
      <c r="L96" s="61">
        <v>17.34</v>
      </c>
      <c r="M96" s="62">
        <v>1.42</v>
      </c>
      <c r="N96" s="61">
        <v>24.62</v>
      </c>
      <c r="O96" s="42"/>
      <c r="P96" s="50">
        <v>3282.6059999999998</v>
      </c>
      <c r="Q96"/>
      <c r="R96"/>
      <c r="S96"/>
      <c r="T96">
        <f>T290</f>
        <v>0</v>
      </c>
      <c r="U96" s="50">
        <f>U97</f>
        <v>2854.44</v>
      </c>
      <c r="V96"/>
      <c r="W96" s="42"/>
      <c r="X96"/>
      <c r="Y96"/>
      <c r="Z96"/>
      <c r="AA9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38"/>
      <c r="AW96" s="38"/>
      <c r="AX96" s="38" t="s">
        <v>117</v>
      </c>
      <c r="AY96" s="38"/>
      <c r="AZ96" s="6"/>
      <c r="BA96" s="38"/>
      <c r="BB96" s="6"/>
      <c r="BC96" s="6"/>
      <c r="BD96" s="6"/>
      <c r="BE96" s="6"/>
      <c r="BF96" s="6"/>
      <c r="BG96" s="6"/>
      <c r="BH96" s="6"/>
      <c r="BI96" s="6"/>
      <c r="BJ96" s="6"/>
      <c r="BK96" s="6"/>
    </row>
    <row r="97" spans="1:63" s="19" customFormat="1" ht="15" x14ac:dyDescent="0.25">
      <c r="A97" s="59"/>
      <c r="B97" s="60"/>
      <c r="C97" s="102" t="s">
        <v>63</v>
      </c>
      <c r="D97" s="102"/>
      <c r="E97" s="102"/>
      <c r="F97" s="102"/>
      <c r="G97" s="102"/>
      <c r="H97" s="41"/>
      <c r="I97" s="42"/>
      <c r="J97" s="42"/>
      <c r="K97" s="42"/>
      <c r="L97" s="45"/>
      <c r="M97" s="42"/>
      <c r="N97" s="45"/>
      <c r="O97" s="42"/>
      <c r="P97" s="50">
        <v>3282.6059999999998</v>
      </c>
      <c r="Q97"/>
      <c r="R97"/>
      <c r="S97"/>
      <c r="T97">
        <f>T290</f>
        <v>0</v>
      </c>
      <c r="U97" s="50">
        <f>2854.44*(K96/W97)</f>
        <v>2854.44</v>
      </c>
      <c r="V97"/>
      <c r="W97" s="62">
        <v>115.94</v>
      </c>
      <c r="X97"/>
      <c r="Y97"/>
      <c r="Z97"/>
      <c r="AA97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38"/>
      <c r="AW97" s="38"/>
      <c r="AX97" s="38"/>
      <c r="AY97" s="38"/>
      <c r="AZ97" s="6"/>
      <c r="BA97" s="38" t="s">
        <v>63</v>
      </c>
      <c r="BB97" s="6"/>
      <c r="BC97" s="6"/>
      <c r="BD97" s="6"/>
      <c r="BE97" s="6"/>
      <c r="BF97" s="6"/>
      <c r="BG97" s="6"/>
      <c r="BH97" s="6"/>
      <c r="BI97" s="6"/>
      <c r="BJ97" s="6"/>
      <c r="BK97" s="6"/>
    </row>
    <row r="98" spans="1:63" s="19" customFormat="1" ht="23.25" x14ac:dyDescent="0.25">
      <c r="A98" s="39" t="s">
        <v>118</v>
      </c>
      <c r="B98" s="40" t="s">
        <v>119</v>
      </c>
      <c r="C98" s="103" t="s">
        <v>120</v>
      </c>
      <c r="D98" s="103"/>
      <c r="E98" s="103"/>
      <c r="F98" s="103"/>
      <c r="G98" s="103"/>
      <c r="H98" s="41" t="s">
        <v>105</v>
      </c>
      <c r="I98" s="42">
        <v>13.912800000000001</v>
      </c>
      <c r="J98" s="43">
        <v>1</v>
      </c>
      <c r="K98" s="44">
        <v>13.912800000000001</v>
      </c>
      <c r="L98" s="61">
        <v>50.99</v>
      </c>
      <c r="M98" s="62">
        <v>1.1599999999999999</v>
      </c>
      <c r="N98" s="61">
        <v>59.15</v>
      </c>
      <c r="O98" s="42"/>
      <c r="P98" s="50">
        <v>946.38099999999997</v>
      </c>
      <c r="Q98"/>
      <c r="R98"/>
      <c r="S98"/>
      <c r="T98">
        <f>T290</f>
        <v>0</v>
      </c>
      <c r="U98" s="63">
        <f>U99</f>
        <v>822.94</v>
      </c>
      <c r="V98"/>
      <c r="W98" s="42"/>
      <c r="X98"/>
      <c r="Y98"/>
      <c r="Z98"/>
      <c r="AA98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38"/>
      <c r="AW98" s="38"/>
      <c r="AX98" s="38" t="s">
        <v>120</v>
      </c>
      <c r="AY98" s="38"/>
      <c r="AZ98" s="6"/>
      <c r="BA98" s="38"/>
      <c r="BB98" s="6"/>
      <c r="BC98" s="6"/>
      <c r="BD98" s="6"/>
      <c r="BE98" s="6"/>
      <c r="BF98" s="6"/>
      <c r="BG98" s="6"/>
      <c r="BH98" s="6"/>
      <c r="BI98" s="6"/>
      <c r="BJ98" s="6"/>
      <c r="BK98" s="6"/>
    </row>
    <row r="99" spans="1:63" s="19" customFormat="1" ht="15" x14ac:dyDescent="0.25">
      <c r="A99" s="59"/>
      <c r="B99" s="60"/>
      <c r="C99" s="102" t="s">
        <v>63</v>
      </c>
      <c r="D99" s="102"/>
      <c r="E99" s="102"/>
      <c r="F99" s="102"/>
      <c r="G99" s="102"/>
      <c r="H99" s="41"/>
      <c r="I99" s="42"/>
      <c r="J99" s="42"/>
      <c r="K99" s="42"/>
      <c r="L99" s="45"/>
      <c r="M99" s="42"/>
      <c r="N99" s="45"/>
      <c r="O99" s="42"/>
      <c r="P99" s="50">
        <v>946.38099999999997</v>
      </c>
      <c r="Q99"/>
      <c r="R99"/>
      <c r="S99"/>
      <c r="T99">
        <f>T290</f>
        <v>0</v>
      </c>
      <c r="U99" s="63">
        <f>822.94*(K98/W99)</f>
        <v>822.94</v>
      </c>
      <c r="V99"/>
      <c r="W99" s="44">
        <v>13.912800000000001</v>
      </c>
      <c r="X99"/>
      <c r="Y99"/>
      <c r="Z99"/>
      <c r="AA99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38"/>
      <c r="AW99" s="38"/>
      <c r="AX99" s="38"/>
      <c r="AY99" s="38"/>
      <c r="AZ99" s="6"/>
      <c r="BA99" s="38" t="s">
        <v>63</v>
      </c>
      <c r="BB99" s="6"/>
      <c r="BC99" s="6"/>
      <c r="BD99" s="6"/>
      <c r="BE99" s="6"/>
      <c r="BF99" s="6"/>
      <c r="BG99" s="6"/>
      <c r="BH99" s="6"/>
      <c r="BI99" s="6"/>
      <c r="BJ99" s="6"/>
      <c r="BK99" s="6"/>
    </row>
    <row r="100" spans="1:63" s="19" customFormat="1" ht="15" x14ac:dyDescent="0.25">
      <c r="A100" s="39" t="s">
        <v>121</v>
      </c>
      <c r="B100" s="40" t="s">
        <v>110</v>
      </c>
      <c r="C100" s="103" t="s">
        <v>111</v>
      </c>
      <c r="D100" s="103"/>
      <c r="E100" s="103"/>
      <c r="F100" s="103"/>
      <c r="G100" s="103"/>
      <c r="H100" s="41" t="s">
        <v>67</v>
      </c>
      <c r="I100" s="42">
        <v>2.7280000000000002</v>
      </c>
      <c r="J100" s="43">
        <v>1</v>
      </c>
      <c r="K100" s="66">
        <v>2.7280000000000002</v>
      </c>
      <c r="L100" s="61">
        <v>65.84</v>
      </c>
      <c r="M100" s="67">
        <v>1.2</v>
      </c>
      <c r="N100" s="61">
        <v>79.010000000000005</v>
      </c>
      <c r="O100" s="42"/>
      <c r="P100" s="50">
        <v>247.87099999999998</v>
      </c>
      <c r="Q100"/>
      <c r="R100"/>
      <c r="S100"/>
      <c r="T100">
        <f>T290</f>
        <v>0</v>
      </c>
      <c r="U100" s="63">
        <f>U101</f>
        <v>215.54</v>
      </c>
      <c r="V100"/>
      <c r="W100" s="42"/>
      <c r="X100"/>
      <c r="Y100"/>
      <c r="Z100"/>
      <c r="AA100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38"/>
      <c r="AW100" s="38"/>
      <c r="AX100" s="38" t="s">
        <v>111</v>
      </c>
      <c r="AY100" s="38"/>
      <c r="AZ100" s="6"/>
      <c r="BA100" s="38"/>
      <c r="BB100" s="6"/>
      <c r="BC100" s="6"/>
      <c r="BD100" s="6"/>
      <c r="BE100" s="6"/>
      <c r="BF100" s="6"/>
      <c r="BG100" s="6"/>
      <c r="BH100" s="6"/>
      <c r="BI100" s="6"/>
      <c r="BJ100" s="6"/>
      <c r="BK100" s="6"/>
    </row>
    <row r="101" spans="1:63" s="19" customFormat="1" ht="15" x14ac:dyDescent="0.25">
      <c r="A101" s="59"/>
      <c r="B101" s="60"/>
      <c r="C101" s="102" t="s">
        <v>63</v>
      </c>
      <c r="D101" s="102"/>
      <c r="E101" s="102"/>
      <c r="F101" s="102"/>
      <c r="G101" s="102"/>
      <c r="H101" s="41"/>
      <c r="I101" s="42"/>
      <c r="J101" s="42"/>
      <c r="K101" s="42"/>
      <c r="L101" s="45"/>
      <c r="M101" s="42"/>
      <c r="N101" s="45"/>
      <c r="O101" s="42"/>
      <c r="P101" s="50">
        <v>247.87099999999998</v>
      </c>
      <c r="Q101"/>
      <c r="R101"/>
      <c r="S101"/>
      <c r="T101">
        <f>T290</f>
        <v>0</v>
      </c>
      <c r="U101" s="63">
        <f>215.54*(K100/W101)</f>
        <v>215.54</v>
      </c>
      <c r="V101"/>
      <c r="W101" s="66">
        <v>2.7280000000000002</v>
      </c>
      <c r="X101"/>
      <c r="Y101"/>
      <c r="Z101"/>
      <c r="AA101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38"/>
      <c r="AW101" s="38"/>
      <c r="AX101" s="38"/>
      <c r="AY101" s="38"/>
      <c r="AZ101" s="6"/>
      <c r="BA101" s="38" t="s">
        <v>63</v>
      </c>
      <c r="BB101" s="6"/>
      <c r="BC101" s="6"/>
      <c r="BD101" s="6"/>
      <c r="BE101" s="6"/>
      <c r="BF101" s="6"/>
      <c r="BG101" s="6"/>
      <c r="BH101" s="6"/>
      <c r="BI101" s="6"/>
      <c r="BJ101" s="6"/>
      <c r="BK101" s="6"/>
    </row>
    <row r="102" spans="1:63" s="19" customFormat="1" ht="15" x14ac:dyDescent="0.25">
      <c r="A102" s="39" t="s">
        <v>122</v>
      </c>
      <c r="B102" s="40" t="s">
        <v>123</v>
      </c>
      <c r="C102" s="103" t="s">
        <v>124</v>
      </c>
      <c r="D102" s="103"/>
      <c r="E102" s="103"/>
      <c r="F102" s="103"/>
      <c r="G102" s="103"/>
      <c r="H102" s="41" t="s">
        <v>125</v>
      </c>
      <c r="I102" s="42">
        <v>0.27</v>
      </c>
      <c r="J102" s="43">
        <v>1</v>
      </c>
      <c r="K102" s="62">
        <v>0.27</v>
      </c>
      <c r="L102" s="45"/>
      <c r="M102" s="42"/>
      <c r="N102" s="45"/>
      <c r="O102" s="42"/>
      <c r="P102" s="50"/>
      <c r="Q102"/>
      <c r="R102"/>
      <c r="S102"/>
      <c r="T102"/>
      <c r="U102" s="46"/>
      <c r="V102"/>
      <c r="W102" s="42"/>
      <c r="X102"/>
      <c r="Y102"/>
      <c r="Z102"/>
      <c r="AA102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38"/>
      <c r="AW102" s="38"/>
      <c r="AX102" s="38" t="s">
        <v>124</v>
      </c>
      <c r="AY102" s="38"/>
      <c r="AZ102" s="6"/>
      <c r="BA102" s="38"/>
      <c r="BB102" s="6"/>
      <c r="BC102" s="6"/>
      <c r="BD102" s="6"/>
      <c r="BE102" s="6"/>
      <c r="BF102" s="6"/>
      <c r="BG102" s="6"/>
      <c r="BH102" s="6"/>
      <c r="BI102" s="6"/>
      <c r="BJ102" s="6"/>
      <c r="BK102" s="6"/>
    </row>
    <row r="103" spans="1:63" s="19" customFormat="1" ht="15" x14ac:dyDescent="0.25">
      <c r="A103" s="47"/>
      <c r="B103" s="48"/>
      <c r="C103" s="102" t="s">
        <v>56</v>
      </c>
      <c r="D103" s="102"/>
      <c r="E103" s="102"/>
      <c r="F103" s="102"/>
      <c r="G103" s="102"/>
      <c r="H103" s="41"/>
      <c r="I103" s="42"/>
      <c r="J103" s="42"/>
      <c r="K103" s="42"/>
      <c r="L103" s="45"/>
      <c r="M103" s="42"/>
      <c r="N103" s="49"/>
      <c r="O103" s="42"/>
      <c r="P103" s="50">
        <v>844.41049999999996</v>
      </c>
      <c r="Q103" s="51"/>
      <c r="R103" s="51"/>
      <c r="S103"/>
      <c r="T103">
        <f>T290</f>
        <v>0</v>
      </c>
      <c r="U103" s="50">
        <v>734.27</v>
      </c>
      <c r="V103"/>
      <c r="W103" s="62">
        <v>0.27</v>
      </c>
      <c r="X103"/>
      <c r="Y103"/>
      <c r="Z103"/>
      <c r="AA103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38"/>
      <c r="AW103" s="38"/>
      <c r="AX103" s="38"/>
      <c r="AY103" s="38" t="s">
        <v>56</v>
      </c>
      <c r="AZ103" s="6"/>
      <c r="BA103" s="38"/>
      <c r="BB103" s="6"/>
      <c r="BC103" s="6"/>
      <c r="BD103" s="6"/>
      <c r="BE103" s="6"/>
      <c r="BF103" s="6"/>
      <c r="BG103" s="6"/>
      <c r="BH103" s="6"/>
      <c r="BI103" s="6"/>
      <c r="BJ103" s="6"/>
      <c r="BK103" s="6"/>
    </row>
    <row r="104" spans="1:63" s="19" customFormat="1" ht="15" x14ac:dyDescent="0.25">
      <c r="A104" s="52"/>
      <c r="B104" s="53"/>
      <c r="C104" s="104" t="s">
        <v>57</v>
      </c>
      <c r="D104" s="104"/>
      <c r="E104" s="104"/>
      <c r="F104" s="104"/>
      <c r="G104" s="104"/>
      <c r="H104" s="54"/>
      <c r="I104" s="55"/>
      <c r="J104" s="55"/>
      <c r="K104" s="55"/>
      <c r="L104" s="56"/>
      <c r="M104" s="55"/>
      <c r="N104" s="56"/>
      <c r="O104" s="55"/>
      <c r="P104" s="77">
        <v>764.66949999999986</v>
      </c>
      <c r="Q104"/>
      <c r="R104"/>
      <c r="S104"/>
      <c r="T104">
        <f>T290</f>
        <v>0</v>
      </c>
      <c r="U104" s="65">
        <v>664.93</v>
      </c>
      <c r="V104"/>
      <c r="W104" s="42"/>
      <c r="X104"/>
      <c r="Y104"/>
      <c r="Z104"/>
      <c r="AA104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38"/>
      <c r="AW104" s="38"/>
      <c r="AX104" s="38"/>
      <c r="AY104" s="38"/>
      <c r="AZ104" s="6" t="s">
        <v>57</v>
      </c>
      <c r="BA104" s="38"/>
      <c r="BB104" s="6"/>
      <c r="BC104" s="6"/>
      <c r="BD104" s="6"/>
      <c r="BE104" s="6"/>
      <c r="BF104" s="6"/>
      <c r="BG104" s="6"/>
      <c r="BH104" s="6"/>
      <c r="BI104" s="6"/>
      <c r="BJ104" s="6"/>
      <c r="BK104" s="6"/>
    </row>
    <row r="105" spans="1:63" s="19" customFormat="1" ht="15" x14ac:dyDescent="0.25">
      <c r="A105" s="52"/>
      <c r="B105" s="53" t="s">
        <v>98</v>
      </c>
      <c r="C105" s="104" t="s">
        <v>99</v>
      </c>
      <c r="D105" s="104"/>
      <c r="E105" s="104"/>
      <c r="F105" s="104"/>
      <c r="G105" s="104"/>
      <c r="H105" s="54" t="s">
        <v>60</v>
      </c>
      <c r="I105" s="58">
        <v>108</v>
      </c>
      <c r="J105" s="55"/>
      <c r="K105" s="58">
        <v>108</v>
      </c>
      <c r="L105" s="56"/>
      <c r="M105" s="55"/>
      <c r="N105" s="56"/>
      <c r="O105" s="55"/>
      <c r="P105" s="77">
        <v>825.83799999999997</v>
      </c>
      <c r="Q105"/>
      <c r="R105"/>
      <c r="S105"/>
      <c r="T105">
        <f>T290</f>
        <v>0</v>
      </c>
      <c r="U105" s="65">
        <v>718.12</v>
      </c>
      <c r="V105"/>
      <c r="W105" s="55"/>
      <c r="X105"/>
      <c r="Y105"/>
      <c r="Z105"/>
      <c r="AA105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38"/>
      <c r="AW105" s="38"/>
      <c r="AX105" s="38"/>
      <c r="AY105" s="38"/>
      <c r="AZ105" s="6" t="s">
        <v>99</v>
      </c>
      <c r="BA105" s="38"/>
      <c r="BB105" s="6"/>
      <c r="BC105" s="6"/>
      <c r="BD105" s="6"/>
      <c r="BE105" s="6"/>
      <c r="BF105" s="6"/>
      <c r="BG105" s="6"/>
      <c r="BH105" s="6"/>
      <c r="BI105" s="6"/>
      <c r="BJ105" s="6"/>
      <c r="BK105" s="6"/>
    </row>
    <row r="106" spans="1:63" s="19" customFormat="1" ht="15" x14ac:dyDescent="0.25">
      <c r="A106" s="52"/>
      <c r="B106" s="53" t="s">
        <v>100</v>
      </c>
      <c r="C106" s="104" t="s">
        <v>101</v>
      </c>
      <c r="D106" s="104"/>
      <c r="E106" s="104"/>
      <c r="F106" s="104"/>
      <c r="G106" s="104"/>
      <c r="H106" s="54" t="s">
        <v>60</v>
      </c>
      <c r="I106" s="58">
        <v>55</v>
      </c>
      <c r="J106" s="55"/>
      <c r="K106" s="58">
        <v>55</v>
      </c>
      <c r="L106" s="56"/>
      <c r="M106" s="55"/>
      <c r="N106" s="56"/>
      <c r="O106" s="55"/>
      <c r="P106" s="77">
        <v>420.56649999999996</v>
      </c>
      <c r="Q106"/>
      <c r="R106"/>
      <c r="S106"/>
      <c r="T106">
        <f>T290</f>
        <v>0</v>
      </c>
      <c r="U106" s="65">
        <v>365.71</v>
      </c>
      <c r="V106"/>
      <c r="W106" s="58">
        <v>108</v>
      </c>
      <c r="X106"/>
      <c r="Y106"/>
      <c r="Z106"/>
      <c r="AA10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38"/>
      <c r="AW106" s="38"/>
      <c r="AX106" s="38"/>
      <c r="AY106" s="38"/>
      <c r="AZ106" s="6" t="s">
        <v>101</v>
      </c>
      <c r="BA106" s="38"/>
      <c r="BB106" s="6"/>
      <c r="BC106" s="6"/>
      <c r="BD106" s="6"/>
      <c r="BE106" s="6"/>
      <c r="BF106" s="6"/>
      <c r="BG106" s="6"/>
      <c r="BH106" s="6"/>
      <c r="BI106" s="6"/>
      <c r="BJ106" s="6"/>
      <c r="BK106" s="6"/>
    </row>
    <row r="107" spans="1:63" s="19" customFormat="1" ht="15" x14ac:dyDescent="0.25">
      <c r="A107" s="59"/>
      <c r="B107" s="60"/>
      <c r="C107" s="102" t="s">
        <v>63</v>
      </c>
      <c r="D107" s="102"/>
      <c r="E107" s="102"/>
      <c r="F107" s="102"/>
      <c r="G107" s="102"/>
      <c r="H107" s="41"/>
      <c r="I107" s="42"/>
      <c r="J107" s="42"/>
      <c r="K107" s="42"/>
      <c r="L107" s="45"/>
      <c r="M107" s="42"/>
      <c r="N107" s="49">
        <v>6733.7</v>
      </c>
      <c r="O107" s="42"/>
      <c r="P107" s="50">
        <v>2090.8149999999996</v>
      </c>
      <c r="Q107"/>
      <c r="R107"/>
      <c r="S107"/>
      <c r="T107">
        <f>T290</f>
        <v>0</v>
      </c>
      <c r="U107" s="50">
        <f>1818.1*(K102/0.27)</f>
        <v>1818.1</v>
      </c>
      <c r="V107"/>
      <c r="W107" s="58">
        <v>55</v>
      </c>
      <c r="X107"/>
      <c r="Y107"/>
      <c r="Z107"/>
      <c r="AA107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38"/>
      <c r="AW107" s="38"/>
      <c r="AX107" s="38"/>
      <c r="AY107" s="38"/>
      <c r="AZ107" s="6"/>
      <c r="BA107" s="38" t="s">
        <v>63</v>
      </c>
      <c r="BB107" s="6"/>
      <c r="BC107" s="6"/>
      <c r="BD107" s="6"/>
      <c r="BE107" s="6"/>
      <c r="BF107" s="6"/>
      <c r="BG107" s="6"/>
      <c r="BH107" s="6"/>
      <c r="BI107" s="6"/>
      <c r="BJ107" s="6"/>
      <c r="BK107" s="6"/>
    </row>
    <row r="108" spans="1:63" s="19" customFormat="1" ht="15" x14ac:dyDescent="0.25">
      <c r="A108" s="39" t="s">
        <v>126</v>
      </c>
      <c r="B108" s="40" t="s">
        <v>127</v>
      </c>
      <c r="C108" s="103" t="s">
        <v>128</v>
      </c>
      <c r="D108" s="103"/>
      <c r="E108" s="103"/>
      <c r="F108" s="103"/>
      <c r="G108" s="103"/>
      <c r="H108" s="41" t="s">
        <v>129</v>
      </c>
      <c r="I108" s="42">
        <v>2.7</v>
      </c>
      <c r="J108" s="43">
        <v>1</v>
      </c>
      <c r="K108" s="67">
        <v>2.7</v>
      </c>
      <c r="L108" s="61">
        <v>94.58</v>
      </c>
      <c r="M108" s="62">
        <v>1.17</v>
      </c>
      <c r="N108" s="61">
        <v>110.66</v>
      </c>
      <c r="O108" s="42"/>
      <c r="P108" s="50">
        <v>3435.9929999999999</v>
      </c>
      <c r="Q108"/>
      <c r="R108"/>
      <c r="S108"/>
      <c r="T108">
        <f>T290</f>
        <v>0</v>
      </c>
      <c r="U108" s="50">
        <f>U109</f>
        <v>298.78200000000004</v>
      </c>
      <c r="V108"/>
      <c r="W108" s="42"/>
      <c r="X108"/>
      <c r="Y108"/>
      <c r="Z108"/>
      <c r="AA108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38"/>
      <c r="AW108" s="38"/>
      <c r="AX108" s="38" t="s">
        <v>128</v>
      </c>
      <c r="AY108" s="38"/>
      <c r="AZ108" s="6"/>
      <c r="BA108" s="38"/>
      <c r="BB108" s="6"/>
      <c r="BC108" s="6"/>
      <c r="BD108" s="6"/>
      <c r="BE108" s="6"/>
      <c r="BF108" s="6"/>
      <c r="BG108" s="6"/>
      <c r="BH108" s="6"/>
      <c r="BI108" s="6"/>
      <c r="BJ108" s="6"/>
      <c r="BK108" s="6"/>
    </row>
    <row r="109" spans="1:63" s="19" customFormat="1" ht="15" x14ac:dyDescent="0.25">
      <c r="A109" s="59"/>
      <c r="B109" s="60"/>
      <c r="C109" s="102" t="s">
        <v>63</v>
      </c>
      <c r="D109" s="102"/>
      <c r="E109" s="102"/>
      <c r="F109" s="102"/>
      <c r="G109" s="102"/>
      <c r="H109" s="41"/>
      <c r="I109" s="42"/>
      <c r="J109" s="42"/>
      <c r="K109" s="42"/>
      <c r="L109" s="45"/>
      <c r="M109" s="42"/>
      <c r="N109" s="45"/>
      <c r="O109" s="42"/>
      <c r="P109" s="50">
        <v>3435.9929999999999</v>
      </c>
      <c r="Q109"/>
      <c r="R109"/>
      <c r="S109"/>
      <c r="T109">
        <f>T290</f>
        <v>0</v>
      </c>
      <c r="U109" s="50">
        <f>2987.82*(K108/W109)</f>
        <v>298.78200000000004</v>
      </c>
      <c r="V109"/>
      <c r="W109" s="43">
        <v>27</v>
      </c>
      <c r="X109"/>
      <c r="Y109"/>
      <c r="Z109"/>
      <c r="AA109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38"/>
      <c r="AW109" s="38"/>
      <c r="AX109" s="38"/>
      <c r="AY109" s="38"/>
      <c r="AZ109" s="6"/>
      <c r="BA109" s="38" t="s">
        <v>63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</row>
    <row r="110" spans="1:63" s="19" customFormat="1" ht="23.25" x14ac:dyDescent="0.25">
      <c r="A110" s="39" t="s">
        <v>130</v>
      </c>
      <c r="B110" s="40" t="s">
        <v>131</v>
      </c>
      <c r="C110" s="103" t="s">
        <v>132</v>
      </c>
      <c r="D110" s="103"/>
      <c r="E110" s="103"/>
      <c r="F110" s="103"/>
      <c r="G110" s="103"/>
      <c r="H110" s="41" t="s">
        <v>55</v>
      </c>
      <c r="I110" s="42">
        <v>0.17100000000000001</v>
      </c>
      <c r="J110" s="43">
        <v>1</v>
      </c>
      <c r="K110" s="44">
        <f>I110</f>
        <v>0.17100000000000001</v>
      </c>
      <c r="L110" s="45"/>
      <c r="M110" s="42"/>
      <c r="N110" s="45"/>
      <c r="O110" s="42"/>
      <c r="P110" s="50"/>
      <c r="Q110"/>
      <c r="R110"/>
      <c r="S110"/>
      <c r="T110"/>
      <c r="U110" s="46"/>
      <c r="V110"/>
      <c r="W110" s="42"/>
      <c r="X110"/>
      <c r="Y110"/>
      <c r="Z110"/>
      <c r="AA110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38"/>
      <c r="AW110" s="38"/>
      <c r="AX110" s="38" t="s">
        <v>132</v>
      </c>
      <c r="AY110" s="38"/>
      <c r="AZ110" s="6"/>
      <c r="BA110" s="38"/>
      <c r="BB110" s="6"/>
      <c r="BC110" s="6"/>
      <c r="BD110" s="6"/>
      <c r="BE110" s="6"/>
      <c r="BF110" s="6"/>
      <c r="BG110" s="6"/>
      <c r="BH110" s="6"/>
      <c r="BI110" s="6"/>
      <c r="BJ110" s="6"/>
      <c r="BK110" s="6"/>
    </row>
    <row r="111" spans="1:63" s="19" customFormat="1" ht="15" x14ac:dyDescent="0.25">
      <c r="A111" s="47"/>
      <c r="B111" s="48"/>
      <c r="C111" s="102" t="s">
        <v>56</v>
      </c>
      <c r="D111" s="102"/>
      <c r="E111" s="102"/>
      <c r="F111" s="102"/>
      <c r="G111" s="102"/>
      <c r="H111" s="41"/>
      <c r="I111" s="42"/>
      <c r="J111" s="42"/>
      <c r="K111" s="42"/>
      <c r="L111" s="45"/>
      <c r="M111" s="42"/>
      <c r="N111" s="49"/>
      <c r="O111" s="42"/>
      <c r="P111" s="50">
        <v>3346.4539999999997</v>
      </c>
      <c r="Q111" s="51"/>
      <c r="R111" s="51"/>
      <c r="S111"/>
      <c r="T111">
        <f>T290</f>
        <v>0</v>
      </c>
      <c r="U111" s="50">
        <v>2909.96</v>
      </c>
      <c r="V111"/>
      <c r="W111" s="44">
        <v>0.13639999999999999</v>
      </c>
      <c r="X111"/>
      <c r="Y111"/>
      <c r="Z111"/>
      <c r="AA111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38"/>
      <c r="AW111" s="38"/>
      <c r="AX111" s="38"/>
      <c r="AY111" s="38" t="s">
        <v>56</v>
      </c>
      <c r="AZ111" s="6"/>
      <c r="BA111" s="38"/>
      <c r="BB111" s="6"/>
      <c r="BC111" s="6"/>
      <c r="BD111" s="6"/>
      <c r="BE111" s="6"/>
      <c r="BF111" s="6"/>
      <c r="BG111" s="6"/>
      <c r="BH111" s="6"/>
      <c r="BI111" s="6"/>
      <c r="BJ111" s="6"/>
      <c r="BK111" s="6"/>
    </row>
    <row r="112" spans="1:63" s="19" customFormat="1" ht="15" x14ac:dyDescent="0.25">
      <c r="A112" s="52"/>
      <c r="B112" s="53"/>
      <c r="C112" s="104" t="s">
        <v>57</v>
      </c>
      <c r="D112" s="104"/>
      <c r="E112" s="104"/>
      <c r="F112" s="104"/>
      <c r="G112" s="104"/>
      <c r="H112" s="54"/>
      <c r="I112" s="55"/>
      <c r="J112" s="55"/>
      <c r="K112" s="55"/>
      <c r="L112" s="56"/>
      <c r="M112" s="55"/>
      <c r="N112" s="56"/>
      <c r="O112" s="55"/>
      <c r="P112" s="77">
        <v>2585.7059999999997</v>
      </c>
      <c r="Q112"/>
      <c r="R112"/>
      <c r="S112"/>
      <c r="T112">
        <f>T290</f>
        <v>0</v>
      </c>
      <c r="U112" s="57">
        <v>2248.44</v>
      </c>
      <c r="V112"/>
      <c r="W112" s="42"/>
      <c r="X112"/>
      <c r="Y112"/>
      <c r="Z112"/>
      <c r="AA112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38"/>
      <c r="AW112" s="38"/>
      <c r="AX112" s="38"/>
      <c r="AY112" s="38"/>
      <c r="AZ112" s="6" t="s">
        <v>57</v>
      </c>
      <c r="BA112" s="38"/>
      <c r="BB112" s="6"/>
      <c r="BC112" s="6"/>
      <c r="BD112" s="6"/>
      <c r="BE112" s="6"/>
      <c r="BF112" s="6"/>
      <c r="BG112" s="6"/>
      <c r="BH112" s="6"/>
      <c r="BI112" s="6"/>
      <c r="BJ112" s="6"/>
      <c r="BK112" s="6"/>
    </row>
    <row r="113" spans="1:63" s="19" customFormat="1" ht="15" x14ac:dyDescent="0.25">
      <c r="A113" s="52"/>
      <c r="B113" s="53" t="s">
        <v>58</v>
      </c>
      <c r="C113" s="104" t="s">
        <v>59</v>
      </c>
      <c r="D113" s="104"/>
      <c r="E113" s="104"/>
      <c r="F113" s="104"/>
      <c r="G113" s="104"/>
      <c r="H113" s="54" t="s">
        <v>60</v>
      </c>
      <c r="I113" s="58">
        <v>100</v>
      </c>
      <c r="J113" s="55"/>
      <c r="K113" s="58">
        <v>100</v>
      </c>
      <c r="L113" s="56"/>
      <c r="M113" s="55"/>
      <c r="N113" s="56"/>
      <c r="O113" s="55"/>
      <c r="P113" s="77">
        <v>2585.7059999999997</v>
      </c>
      <c r="Q113"/>
      <c r="R113"/>
      <c r="S113"/>
      <c r="T113">
        <f>T290</f>
        <v>0</v>
      </c>
      <c r="U113" s="57">
        <v>2248.44</v>
      </c>
      <c r="V113"/>
      <c r="W113" s="55"/>
      <c r="X113"/>
      <c r="Y113"/>
      <c r="Z113"/>
      <c r="AA113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38"/>
      <c r="AW113" s="38"/>
      <c r="AX113" s="38"/>
      <c r="AY113" s="38"/>
      <c r="AZ113" s="6" t="s">
        <v>59</v>
      </c>
      <c r="BA113" s="38"/>
      <c r="BB113" s="6"/>
      <c r="BC113" s="6"/>
      <c r="BD113" s="6"/>
      <c r="BE113" s="6"/>
      <c r="BF113" s="6"/>
      <c r="BG113" s="6"/>
      <c r="BH113" s="6"/>
      <c r="BI113" s="6"/>
      <c r="BJ113" s="6"/>
      <c r="BK113" s="6"/>
    </row>
    <row r="114" spans="1:63" s="19" customFormat="1" ht="15" x14ac:dyDescent="0.25">
      <c r="A114" s="52"/>
      <c r="B114" s="53" t="s">
        <v>61</v>
      </c>
      <c r="C114" s="104" t="s">
        <v>62</v>
      </c>
      <c r="D114" s="104"/>
      <c r="E114" s="104"/>
      <c r="F114" s="104"/>
      <c r="G114" s="104"/>
      <c r="H114" s="54" t="s">
        <v>60</v>
      </c>
      <c r="I114" s="58">
        <v>49</v>
      </c>
      <c r="J114" s="55"/>
      <c r="K114" s="58">
        <v>49</v>
      </c>
      <c r="L114" s="56"/>
      <c r="M114" s="55"/>
      <c r="N114" s="56"/>
      <c r="O114" s="55"/>
      <c r="P114" s="77">
        <v>1267.001</v>
      </c>
      <c r="Q114"/>
      <c r="R114"/>
      <c r="S114"/>
      <c r="T114">
        <f>T290</f>
        <v>0</v>
      </c>
      <c r="U114" s="57">
        <v>1101.74</v>
      </c>
      <c r="V114"/>
      <c r="W114" s="58">
        <v>100</v>
      </c>
      <c r="X114"/>
      <c r="Y114"/>
      <c r="Z114"/>
      <c r="AA114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38"/>
      <c r="AW114" s="38"/>
      <c r="AX114" s="38"/>
      <c r="AY114" s="38"/>
      <c r="AZ114" s="6" t="s">
        <v>62</v>
      </c>
      <c r="BA114" s="38"/>
      <c r="BB114" s="6"/>
      <c r="BC114" s="6"/>
      <c r="BD114" s="6"/>
      <c r="BE114" s="6"/>
      <c r="BF114" s="6"/>
      <c r="BG114" s="6"/>
      <c r="BH114" s="6"/>
      <c r="BI114" s="6"/>
      <c r="BJ114" s="6"/>
      <c r="BK114" s="6"/>
    </row>
    <row r="115" spans="1:63" s="19" customFormat="1" ht="15" x14ac:dyDescent="0.25">
      <c r="A115" s="59"/>
      <c r="B115" s="60"/>
      <c r="C115" s="102" t="s">
        <v>63</v>
      </c>
      <c r="D115" s="102"/>
      <c r="E115" s="102"/>
      <c r="F115" s="102"/>
      <c r="G115" s="102"/>
      <c r="H115" s="41"/>
      <c r="I115" s="42"/>
      <c r="J115" s="42"/>
      <c r="K115" s="42"/>
      <c r="L115" s="45"/>
      <c r="M115" s="42"/>
      <c r="N115" s="49">
        <v>45895.45</v>
      </c>
      <c r="O115" s="42"/>
      <c r="P115" s="50">
        <v>9025.3411363636387</v>
      </c>
      <c r="Q115"/>
      <c r="R115"/>
      <c r="S115"/>
      <c r="T115">
        <f>T290</f>
        <v>0</v>
      </c>
      <c r="U115" s="50">
        <f>6260.14*(K110/W111)</f>
        <v>7848.1227272727292</v>
      </c>
      <c r="V115"/>
      <c r="W115" s="58">
        <v>49</v>
      </c>
      <c r="X115"/>
      <c r="Y115"/>
      <c r="Z115"/>
      <c r="AA115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38"/>
      <c r="AW115" s="38"/>
      <c r="AX115" s="38"/>
      <c r="AY115" s="38"/>
      <c r="AZ115" s="6"/>
      <c r="BA115" s="38" t="s">
        <v>63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</row>
    <row r="116" spans="1:63" s="19" customFormat="1" ht="23.25" x14ac:dyDescent="0.25">
      <c r="A116" s="39" t="s">
        <v>133</v>
      </c>
      <c r="B116" s="40" t="s">
        <v>134</v>
      </c>
      <c r="C116" s="103" t="s">
        <v>135</v>
      </c>
      <c r="D116" s="103"/>
      <c r="E116" s="103"/>
      <c r="F116" s="103"/>
      <c r="G116" s="103"/>
      <c r="H116" s="41" t="s">
        <v>71</v>
      </c>
      <c r="I116" s="42">
        <f>0.004092*1.5</f>
        <v>6.1380000000000002E-3</v>
      </c>
      <c r="J116" s="43">
        <v>1</v>
      </c>
      <c r="K116" s="68">
        <f>I116</f>
        <v>6.1380000000000002E-3</v>
      </c>
      <c r="L116" s="49">
        <v>52663.94</v>
      </c>
      <c r="M116" s="62">
        <v>1.81</v>
      </c>
      <c r="N116" s="49">
        <v>95321.73</v>
      </c>
      <c r="O116" s="42"/>
      <c r="P116" s="50">
        <v>672.85349999999994</v>
      </c>
      <c r="Q116"/>
      <c r="R116"/>
      <c r="S116"/>
      <c r="T116">
        <f>T290</f>
        <v>0</v>
      </c>
      <c r="U116" s="63">
        <f>U117</f>
        <v>585.09</v>
      </c>
      <c r="V116"/>
      <c r="W116" s="42"/>
      <c r="X116"/>
      <c r="Y116"/>
      <c r="Z116"/>
      <c r="AA11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38"/>
      <c r="AW116" s="38"/>
      <c r="AX116" s="38" t="s">
        <v>135</v>
      </c>
      <c r="AY116" s="38"/>
      <c r="AZ116" s="6"/>
      <c r="BA116" s="38"/>
      <c r="BB116" s="6"/>
      <c r="BC116" s="6"/>
      <c r="BD116" s="6"/>
      <c r="BE116" s="6"/>
      <c r="BF116" s="6"/>
      <c r="BG116" s="6"/>
      <c r="BH116" s="6"/>
      <c r="BI116" s="6"/>
      <c r="BJ116" s="6"/>
      <c r="BK116" s="6"/>
    </row>
    <row r="117" spans="1:63" s="19" customFormat="1" ht="15" x14ac:dyDescent="0.25">
      <c r="A117" s="59"/>
      <c r="B117" s="60"/>
      <c r="C117" s="102" t="s">
        <v>63</v>
      </c>
      <c r="D117" s="102"/>
      <c r="E117" s="102"/>
      <c r="F117" s="102"/>
      <c r="G117" s="102"/>
      <c r="H117" s="41"/>
      <c r="I117" s="42"/>
      <c r="J117" s="42"/>
      <c r="K117" s="42"/>
      <c r="L117" s="45"/>
      <c r="M117" s="42"/>
      <c r="N117" s="45"/>
      <c r="O117" s="42"/>
      <c r="P117" s="50">
        <v>672.85349999999994</v>
      </c>
      <c r="Q117"/>
      <c r="R117"/>
      <c r="S117"/>
      <c r="T117">
        <f>T290</f>
        <v>0</v>
      </c>
      <c r="U117" s="63">
        <f>390.06*(K116/W117)</f>
        <v>585.09</v>
      </c>
      <c r="V117"/>
      <c r="W117" s="68">
        <v>4.0920000000000002E-3</v>
      </c>
      <c r="X117"/>
      <c r="Y117"/>
      <c r="Z117"/>
      <c r="AA117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38"/>
      <c r="AW117" s="38"/>
      <c r="AX117" s="38"/>
      <c r="AY117" s="38"/>
      <c r="AZ117" s="6"/>
      <c r="BA117" s="38" t="s">
        <v>63</v>
      </c>
      <c r="BB117" s="6"/>
      <c r="BC117" s="6"/>
      <c r="BD117" s="6"/>
      <c r="BE117" s="6"/>
      <c r="BF117" s="6"/>
      <c r="BG117" s="6"/>
      <c r="BH117" s="6"/>
      <c r="BI117" s="6"/>
      <c r="BJ117" s="6"/>
      <c r="BK117" s="6"/>
    </row>
    <row r="118" spans="1:63" s="19" customFormat="1" ht="23.25" x14ac:dyDescent="0.25">
      <c r="A118" s="39" t="s">
        <v>136</v>
      </c>
      <c r="B118" s="40" t="s">
        <v>137</v>
      </c>
      <c r="C118" s="103" t="s">
        <v>138</v>
      </c>
      <c r="D118" s="103"/>
      <c r="E118" s="103"/>
      <c r="F118" s="103"/>
      <c r="G118" s="103"/>
      <c r="H118" s="41" t="s">
        <v>67</v>
      </c>
      <c r="I118" s="42">
        <f>2.728*1.5</f>
        <v>4.0920000000000005</v>
      </c>
      <c r="J118" s="43">
        <v>1</v>
      </c>
      <c r="K118" s="66">
        <f>I118</f>
        <v>4.0920000000000005</v>
      </c>
      <c r="L118" s="61">
        <v>144.12</v>
      </c>
      <c r="M118" s="67">
        <v>1.2</v>
      </c>
      <c r="N118" s="61">
        <v>172.94</v>
      </c>
      <c r="O118" s="42"/>
      <c r="P118" s="50">
        <v>813.82049999999992</v>
      </c>
      <c r="Q118"/>
      <c r="R118"/>
      <c r="S118"/>
      <c r="T118">
        <f>T290</f>
        <v>0</v>
      </c>
      <c r="U118" s="63">
        <f>U119</f>
        <v>707.67</v>
      </c>
      <c r="V118"/>
      <c r="W118" s="42"/>
      <c r="X118"/>
      <c r="Y118"/>
      <c r="Z118"/>
      <c r="AA118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38"/>
      <c r="AW118" s="38"/>
      <c r="AX118" s="38" t="s">
        <v>138</v>
      </c>
      <c r="AY118" s="38"/>
      <c r="AZ118" s="6"/>
      <c r="BA118" s="38"/>
      <c r="BB118" s="6"/>
      <c r="BC118" s="6"/>
      <c r="BD118" s="6"/>
      <c r="BE118" s="6"/>
      <c r="BF118" s="6"/>
      <c r="BG118" s="6"/>
      <c r="BH118" s="6"/>
      <c r="BI118" s="6"/>
      <c r="BJ118" s="6"/>
      <c r="BK118" s="6"/>
    </row>
    <row r="119" spans="1:63" s="19" customFormat="1" ht="15" x14ac:dyDescent="0.25">
      <c r="A119" s="59"/>
      <c r="B119" s="60"/>
      <c r="C119" s="102" t="s">
        <v>63</v>
      </c>
      <c r="D119" s="102"/>
      <c r="E119" s="102"/>
      <c r="F119" s="102"/>
      <c r="G119" s="102"/>
      <c r="H119" s="41"/>
      <c r="I119" s="42"/>
      <c r="J119" s="42"/>
      <c r="K119" s="42"/>
      <c r="L119" s="45"/>
      <c r="M119" s="42"/>
      <c r="N119" s="45"/>
      <c r="O119" s="42"/>
      <c r="P119" s="50">
        <v>813.82049999999992</v>
      </c>
      <c r="Q119"/>
      <c r="R119"/>
      <c r="S119"/>
      <c r="T119">
        <f>T290</f>
        <v>0</v>
      </c>
      <c r="U119" s="63">
        <f>471.78*(K118/W119)</f>
        <v>707.67</v>
      </c>
      <c r="V119"/>
      <c r="W119" s="66">
        <v>2.7280000000000002</v>
      </c>
      <c r="X119"/>
      <c r="Y119"/>
      <c r="Z119"/>
      <c r="AA119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38"/>
      <c r="AW119" s="38"/>
      <c r="AX119" s="38"/>
      <c r="AY119" s="38"/>
      <c r="AZ119" s="6"/>
      <c r="BA119" s="38" t="s">
        <v>63</v>
      </c>
      <c r="BB119" s="6"/>
      <c r="BC119" s="6"/>
      <c r="BD119" s="6"/>
      <c r="BE119" s="6"/>
      <c r="BF119" s="6"/>
      <c r="BG119" s="6"/>
      <c r="BH119" s="6"/>
      <c r="BI119" s="6"/>
      <c r="BJ119" s="6"/>
      <c r="BK119" s="6"/>
    </row>
    <row r="120" spans="1:63" s="19" customFormat="1" ht="45.75" x14ac:dyDescent="0.25">
      <c r="A120" s="39" t="s">
        <v>139</v>
      </c>
      <c r="B120" s="40" t="s">
        <v>140</v>
      </c>
      <c r="C120" s="103" t="s">
        <v>141</v>
      </c>
      <c r="D120" s="103"/>
      <c r="E120" s="103"/>
      <c r="F120" s="103"/>
      <c r="G120" s="103"/>
      <c r="H120" s="41" t="s">
        <v>55</v>
      </c>
      <c r="I120" s="42">
        <v>39.020000000000003</v>
      </c>
      <c r="J120" s="43">
        <v>1</v>
      </c>
      <c r="K120" s="62">
        <v>39.020000000000003</v>
      </c>
      <c r="L120" s="45"/>
      <c r="M120" s="42"/>
      <c r="N120" s="45"/>
      <c r="O120" s="42"/>
      <c r="P120" s="50"/>
      <c r="Q120"/>
      <c r="R120"/>
      <c r="S120"/>
      <c r="T120"/>
      <c r="U120" s="46"/>
      <c r="V120"/>
      <c r="W120" s="42"/>
      <c r="X120"/>
      <c r="Y120"/>
      <c r="Z120"/>
      <c r="AA120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38"/>
      <c r="AW120" s="38"/>
      <c r="AX120" s="38" t="s">
        <v>141</v>
      </c>
      <c r="AY120" s="38"/>
      <c r="AZ120" s="6"/>
      <c r="BA120" s="38"/>
      <c r="BB120" s="6"/>
      <c r="BC120" s="6"/>
      <c r="BD120" s="6"/>
      <c r="BE120" s="6"/>
      <c r="BF120" s="6"/>
      <c r="BG120" s="6"/>
      <c r="BH120" s="6"/>
      <c r="BI120" s="6"/>
      <c r="BJ120" s="6"/>
      <c r="BK120" s="6"/>
    </row>
    <row r="121" spans="1:63" s="19" customFormat="1" ht="15" x14ac:dyDescent="0.25">
      <c r="A121" s="47"/>
      <c r="B121" s="48"/>
      <c r="C121" s="102" t="s">
        <v>56</v>
      </c>
      <c r="D121" s="102"/>
      <c r="E121" s="102"/>
      <c r="F121" s="102"/>
      <c r="G121" s="102"/>
      <c r="H121" s="41"/>
      <c r="I121" s="42"/>
      <c r="J121" s="42"/>
      <c r="K121" s="42"/>
      <c r="L121" s="45"/>
      <c r="M121" s="42"/>
      <c r="N121" s="49"/>
      <c r="O121" s="42"/>
      <c r="P121" s="50">
        <v>39354.218999999997</v>
      </c>
      <c r="Q121" s="51"/>
      <c r="R121" s="51"/>
      <c r="S121"/>
      <c r="T121">
        <f>T290</f>
        <v>0</v>
      </c>
      <c r="U121" s="50">
        <v>34221.06</v>
      </c>
      <c r="V121"/>
      <c r="W121" s="62">
        <v>0.39</v>
      </c>
      <c r="X121"/>
      <c r="Y121"/>
      <c r="Z121"/>
      <c r="AA121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38"/>
      <c r="AW121" s="38"/>
      <c r="AX121" s="38"/>
      <c r="AY121" s="38" t="s">
        <v>56</v>
      </c>
      <c r="AZ121" s="6"/>
      <c r="BA121" s="38"/>
      <c r="BB121" s="6"/>
      <c r="BC121" s="6"/>
      <c r="BD121" s="6"/>
      <c r="BE121" s="6"/>
      <c r="BF121" s="6"/>
      <c r="BG121" s="6"/>
      <c r="BH121" s="6"/>
      <c r="BI121" s="6"/>
      <c r="BJ121" s="6"/>
      <c r="BK121" s="6"/>
    </row>
    <row r="122" spans="1:63" s="19" customFormat="1" ht="15" x14ac:dyDescent="0.25">
      <c r="A122" s="52"/>
      <c r="B122" s="53"/>
      <c r="C122" s="104" t="s">
        <v>57</v>
      </c>
      <c r="D122" s="104"/>
      <c r="E122" s="104"/>
      <c r="F122" s="104"/>
      <c r="G122" s="104"/>
      <c r="H122" s="54"/>
      <c r="I122" s="55"/>
      <c r="J122" s="55"/>
      <c r="K122" s="55"/>
      <c r="L122" s="56"/>
      <c r="M122" s="55"/>
      <c r="N122" s="56"/>
      <c r="O122" s="55"/>
      <c r="P122" s="77">
        <v>35608.898999999998</v>
      </c>
      <c r="Q122"/>
      <c r="R122"/>
      <c r="S122"/>
      <c r="T122">
        <f>T290</f>
        <v>0</v>
      </c>
      <c r="U122" s="57">
        <v>30964.26</v>
      </c>
      <c r="V122"/>
      <c r="W122" s="42"/>
      <c r="X122"/>
      <c r="Y122"/>
      <c r="Z122"/>
      <c r="AA122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38"/>
      <c r="AW122" s="38"/>
      <c r="AX122" s="38"/>
      <c r="AY122" s="38"/>
      <c r="AZ122" s="6" t="s">
        <v>57</v>
      </c>
      <c r="BA122" s="38"/>
      <c r="BB122" s="6"/>
      <c r="BC122" s="6"/>
      <c r="BD122" s="6"/>
      <c r="BE122" s="6"/>
      <c r="BF122" s="6"/>
      <c r="BG122" s="6"/>
      <c r="BH122" s="6"/>
      <c r="BI122" s="6"/>
      <c r="BJ122" s="6"/>
      <c r="BK122" s="6"/>
    </row>
    <row r="123" spans="1:63" s="19" customFormat="1" ht="15" x14ac:dyDescent="0.25">
      <c r="A123" s="52"/>
      <c r="B123" s="53" t="s">
        <v>58</v>
      </c>
      <c r="C123" s="104" t="s">
        <v>59</v>
      </c>
      <c r="D123" s="104"/>
      <c r="E123" s="104"/>
      <c r="F123" s="104"/>
      <c r="G123" s="104"/>
      <c r="H123" s="54" t="s">
        <v>60</v>
      </c>
      <c r="I123" s="58">
        <v>100</v>
      </c>
      <c r="J123" s="55"/>
      <c r="K123" s="58">
        <v>100</v>
      </c>
      <c r="L123" s="56"/>
      <c r="M123" s="55"/>
      <c r="N123" s="56"/>
      <c r="O123" s="55"/>
      <c r="P123" s="77">
        <v>35608.898999999998</v>
      </c>
      <c r="Q123"/>
      <c r="R123"/>
      <c r="S123"/>
      <c r="T123">
        <f>T290</f>
        <v>0</v>
      </c>
      <c r="U123" s="57">
        <v>30964.26</v>
      </c>
      <c r="V123"/>
      <c r="W123" s="55"/>
      <c r="X123"/>
      <c r="Y123"/>
      <c r="Z123"/>
      <c r="AA123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38"/>
      <c r="AW123" s="38"/>
      <c r="AX123" s="38"/>
      <c r="AY123" s="38"/>
      <c r="AZ123" s="6" t="s">
        <v>59</v>
      </c>
      <c r="BA123" s="38"/>
      <c r="BB123" s="6"/>
      <c r="BC123" s="6"/>
      <c r="BD123" s="6"/>
      <c r="BE123" s="6"/>
      <c r="BF123" s="6"/>
      <c r="BG123" s="6"/>
      <c r="BH123" s="6"/>
      <c r="BI123" s="6"/>
      <c r="BJ123" s="6"/>
      <c r="BK123" s="6"/>
    </row>
    <row r="124" spans="1:63" s="19" customFormat="1" ht="15" x14ac:dyDescent="0.25">
      <c r="A124" s="52"/>
      <c r="B124" s="53" t="s">
        <v>61</v>
      </c>
      <c r="C124" s="104" t="s">
        <v>62</v>
      </c>
      <c r="D124" s="104"/>
      <c r="E124" s="104"/>
      <c r="F124" s="104"/>
      <c r="G124" s="104"/>
      <c r="H124" s="54" t="s">
        <v>60</v>
      </c>
      <c r="I124" s="58">
        <v>49</v>
      </c>
      <c r="J124" s="55"/>
      <c r="K124" s="58">
        <v>49</v>
      </c>
      <c r="L124" s="56"/>
      <c r="M124" s="55"/>
      <c r="N124" s="56"/>
      <c r="O124" s="55"/>
      <c r="P124" s="77">
        <v>17448.363499999999</v>
      </c>
      <c r="Q124"/>
      <c r="R124"/>
      <c r="S124"/>
      <c r="T124">
        <f>T290</f>
        <v>0</v>
      </c>
      <c r="U124" s="57">
        <v>15172.49</v>
      </c>
      <c r="V124"/>
      <c r="W124" s="58">
        <v>100</v>
      </c>
      <c r="X124"/>
      <c r="Y124"/>
      <c r="Z124"/>
      <c r="AA124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38"/>
      <c r="AW124" s="38"/>
      <c r="AX124" s="38"/>
      <c r="AY124" s="38"/>
      <c r="AZ124" s="6" t="s">
        <v>62</v>
      </c>
      <c r="BA124" s="38"/>
      <c r="BB124" s="6"/>
      <c r="BC124" s="6"/>
      <c r="BD124" s="6"/>
      <c r="BE124" s="6"/>
      <c r="BF124" s="6"/>
      <c r="BG124" s="6"/>
      <c r="BH124" s="6"/>
      <c r="BI124" s="6"/>
      <c r="BJ124" s="6"/>
      <c r="BK124" s="6"/>
    </row>
    <row r="125" spans="1:63" s="19" customFormat="1" ht="15" x14ac:dyDescent="0.25">
      <c r="A125" s="59"/>
      <c r="B125" s="60"/>
      <c r="C125" s="102" t="s">
        <v>63</v>
      </c>
      <c r="D125" s="102"/>
      <c r="E125" s="102"/>
      <c r="F125" s="102"/>
      <c r="G125" s="102"/>
      <c r="H125" s="41"/>
      <c r="I125" s="42"/>
      <c r="J125" s="42"/>
      <c r="K125" s="42"/>
      <c r="L125" s="45"/>
      <c r="M125" s="42"/>
      <c r="N125" s="49">
        <v>206045.67</v>
      </c>
      <c r="O125" s="42"/>
      <c r="P125" s="50">
        <v>108998.15766666667</v>
      </c>
      <c r="Q125"/>
      <c r="R125"/>
      <c r="S125"/>
      <c r="T125">
        <f>T290</f>
        <v>0</v>
      </c>
      <c r="U125" s="50">
        <f>80357.81*(K120/W121)</f>
        <v>8039901.913333334</v>
      </c>
      <c r="V125"/>
      <c r="W125" s="58">
        <v>49</v>
      </c>
      <c r="X125"/>
      <c r="Y125"/>
      <c r="Z125"/>
      <c r="AA125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38"/>
      <c r="AW125" s="38"/>
      <c r="AX125" s="38"/>
      <c r="AY125" s="38"/>
      <c r="AZ125" s="6"/>
      <c r="BA125" s="38" t="s">
        <v>63</v>
      </c>
      <c r="BB125" s="6"/>
      <c r="BC125" s="6"/>
      <c r="BD125" s="6"/>
      <c r="BE125" s="6"/>
      <c r="BF125" s="6"/>
      <c r="BG125" s="6"/>
      <c r="BH125" s="6"/>
      <c r="BI125" s="6"/>
      <c r="BJ125" s="6"/>
      <c r="BK125" s="6"/>
    </row>
    <row r="126" spans="1:63" s="19" customFormat="1" ht="23.25" x14ac:dyDescent="0.25">
      <c r="A126" s="39" t="s">
        <v>142</v>
      </c>
      <c r="B126" s="40" t="s">
        <v>143</v>
      </c>
      <c r="C126" s="103" t="s">
        <v>144</v>
      </c>
      <c r="D126" s="103"/>
      <c r="E126" s="103"/>
      <c r="F126" s="103"/>
      <c r="G126" s="103"/>
      <c r="H126" s="41" t="s">
        <v>105</v>
      </c>
      <c r="I126" s="42">
        <v>39.799999999999997</v>
      </c>
      <c r="J126" s="43">
        <v>1</v>
      </c>
      <c r="K126" s="67">
        <v>39.799999999999997</v>
      </c>
      <c r="L126" s="61">
        <v>498.7</v>
      </c>
      <c r="M126" s="62">
        <v>1.22</v>
      </c>
      <c r="N126" s="61">
        <v>608.41</v>
      </c>
      <c r="O126" s="42"/>
      <c r="P126" s="50">
        <v>27287.1885</v>
      </c>
      <c r="Q126"/>
      <c r="R126"/>
      <c r="S126"/>
      <c r="T126">
        <f>T290</f>
        <v>0</v>
      </c>
      <c r="U126" s="50">
        <f>U127</f>
        <v>24214.718000000001</v>
      </c>
      <c r="V126"/>
      <c r="W126" s="42"/>
      <c r="X126"/>
      <c r="Y126"/>
      <c r="Z126"/>
      <c r="AA12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38"/>
      <c r="AW126" s="38"/>
      <c r="AX126" s="38" t="s">
        <v>144</v>
      </c>
      <c r="AY126" s="38"/>
      <c r="AZ126" s="6"/>
      <c r="BA126" s="38"/>
      <c r="BB126" s="6"/>
      <c r="BC126" s="6"/>
      <c r="BD126" s="6"/>
      <c r="BE126" s="6"/>
      <c r="BF126" s="6"/>
      <c r="BG126" s="6"/>
      <c r="BH126" s="6"/>
      <c r="BI126" s="6"/>
      <c r="BJ126" s="6"/>
      <c r="BK126" s="6"/>
    </row>
    <row r="127" spans="1:63" s="19" customFormat="1" ht="15" x14ac:dyDescent="0.25">
      <c r="A127" s="59"/>
      <c r="B127" s="60"/>
      <c r="C127" s="102" t="s">
        <v>63</v>
      </c>
      <c r="D127" s="102"/>
      <c r="E127" s="102"/>
      <c r="F127" s="102"/>
      <c r="G127" s="102"/>
      <c r="H127" s="41"/>
      <c r="I127" s="42"/>
      <c r="J127" s="42"/>
      <c r="K127" s="42"/>
      <c r="L127" s="45"/>
      <c r="M127" s="42"/>
      <c r="N127" s="45"/>
      <c r="O127" s="42"/>
      <c r="P127" s="50">
        <v>27287.1885</v>
      </c>
      <c r="Q127"/>
      <c r="R127"/>
      <c r="S127"/>
      <c r="T127">
        <f>T290</f>
        <v>0</v>
      </c>
      <c r="U127" s="50">
        <f>23727.99*(K126/W127)</f>
        <v>24214.718000000001</v>
      </c>
      <c r="V127"/>
      <c r="W127" s="43">
        <v>39</v>
      </c>
      <c r="X127"/>
      <c r="Y127"/>
      <c r="Z127"/>
      <c r="AA127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38"/>
      <c r="AW127" s="38"/>
      <c r="AX127" s="38"/>
      <c r="AY127" s="38"/>
      <c r="AZ127" s="6"/>
      <c r="BA127" s="38" t="s">
        <v>63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</row>
    <row r="128" spans="1:63" s="19" customFormat="1" ht="15" x14ac:dyDescent="0.25">
      <c r="A128" s="107" t="s">
        <v>145</v>
      </c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9"/>
      <c r="Q128"/>
      <c r="R128"/>
      <c r="S128"/>
      <c r="T128"/>
      <c r="U128"/>
      <c r="V128"/>
      <c r="W128"/>
      <c r="X128"/>
      <c r="Y128"/>
      <c r="Z128"/>
      <c r="AA128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38"/>
      <c r="AW128" s="38" t="s">
        <v>145</v>
      </c>
      <c r="AX128" s="38"/>
      <c r="AY128" s="38"/>
      <c r="AZ128" s="6"/>
      <c r="BA128" s="38"/>
      <c r="BB128" s="6"/>
      <c r="BC128" s="6"/>
      <c r="BD128" s="6"/>
      <c r="BE128" s="6"/>
      <c r="BF128" s="6"/>
      <c r="BG128" s="6"/>
      <c r="BH128" s="6"/>
      <c r="BI128" s="6"/>
      <c r="BJ128" s="6"/>
      <c r="BK128" s="6"/>
    </row>
    <row r="129" spans="1:63" s="19" customFormat="1" ht="23.25" x14ac:dyDescent="0.25">
      <c r="A129" s="39" t="s">
        <v>146</v>
      </c>
      <c r="B129" s="40" t="s">
        <v>147</v>
      </c>
      <c r="C129" s="103" t="s">
        <v>148</v>
      </c>
      <c r="D129" s="103"/>
      <c r="E129" s="103"/>
      <c r="F129" s="103"/>
      <c r="G129" s="103"/>
      <c r="H129" s="41" t="s">
        <v>55</v>
      </c>
      <c r="I129" s="42">
        <v>2.9520000000000001E-2</v>
      </c>
      <c r="J129" s="43">
        <v>1</v>
      </c>
      <c r="K129" s="69">
        <v>2.9520000000000001E-2</v>
      </c>
      <c r="L129" s="45"/>
      <c r="M129" s="42"/>
      <c r="N129" s="45"/>
      <c r="O129" s="42"/>
      <c r="P129" s="46"/>
      <c r="Q129"/>
      <c r="R129"/>
      <c r="S129"/>
      <c r="T129"/>
      <c r="U129"/>
      <c r="V129"/>
      <c r="W129" s="69">
        <v>2.9520000000000001E-2</v>
      </c>
      <c r="X129"/>
      <c r="Y129"/>
      <c r="Z129"/>
      <c r="AA129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38"/>
      <c r="AW129" s="38"/>
      <c r="AX129" s="38" t="s">
        <v>148</v>
      </c>
      <c r="AY129" s="38"/>
      <c r="AZ129" s="6"/>
      <c r="BA129" s="38"/>
      <c r="BB129" s="6"/>
      <c r="BC129" s="6"/>
      <c r="BD129" s="6"/>
      <c r="BE129" s="6"/>
      <c r="BF129" s="6"/>
      <c r="BG129" s="6"/>
      <c r="BH129" s="6"/>
      <c r="BI129" s="6"/>
      <c r="BJ129" s="6"/>
      <c r="BK129" s="6"/>
    </row>
    <row r="130" spans="1:63" s="19" customFormat="1" ht="15" x14ac:dyDescent="0.25">
      <c r="A130" s="47"/>
      <c r="B130" s="48"/>
      <c r="C130" s="102" t="s">
        <v>56</v>
      </c>
      <c r="D130" s="102"/>
      <c r="E130" s="102"/>
      <c r="F130" s="102"/>
      <c r="G130" s="102"/>
      <c r="H130" s="41"/>
      <c r="I130" s="42"/>
      <c r="J130" s="42"/>
      <c r="K130" s="42"/>
      <c r="L130" s="45"/>
      <c r="M130" s="42"/>
      <c r="N130" s="49"/>
      <c r="O130" s="42"/>
      <c r="P130" s="50">
        <v>1189.0539999999999</v>
      </c>
      <c r="Q130" s="51"/>
      <c r="R130" s="51"/>
      <c r="S130"/>
      <c r="T130">
        <f>T290</f>
        <v>0</v>
      </c>
      <c r="U130" s="50">
        <v>1033.96</v>
      </c>
      <c r="V130"/>
      <c r="W130" s="42"/>
      <c r="X130"/>
      <c r="Y130"/>
      <c r="Z130"/>
      <c r="AA130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38"/>
      <c r="AW130" s="38"/>
      <c r="AX130" s="38"/>
      <c r="AY130" s="38" t="s">
        <v>56</v>
      </c>
      <c r="AZ130" s="6"/>
      <c r="BA130" s="38"/>
      <c r="BB130" s="6"/>
      <c r="BC130" s="6"/>
      <c r="BD130" s="6"/>
      <c r="BE130" s="6"/>
      <c r="BF130" s="6"/>
      <c r="BG130" s="6"/>
      <c r="BH130" s="6"/>
      <c r="BI130" s="6"/>
      <c r="BJ130" s="6"/>
      <c r="BK130" s="6"/>
    </row>
    <row r="131" spans="1:63" s="19" customFormat="1" ht="15" x14ac:dyDescent="0.25">
      <c r="A131" s="52"/>
      <c r="B131" s="53"/>
      <c r="C131" s="104" t="s">
        <v>57</v>
      </c>
      <c r="D131" s="104"/>
      <c r="E131" s="104"/>
      <c r="F131" s="104"/>
      <c r="G131" s="104"/>
      <c r="H131" s="54"/>
      <c r="I131" s="55"/>
      <c r="J131" s="55"/>
      <c r="K131" s="55"/>
      <c r="L131" s="56"/>
      <c r="M131" s="55"/>
      <c r="N131" s="56"/>
      <c r="O131" s="55"/>
      <c r="P131" s="77">
        <v>1176.5994999999998</v>
      </c>
      <c r="Q131"/>
      <c r="R131"/>
      <c r="S131"/>
      <c r="T131">
        <f>T290</f>
        <v>0</v>
      </c>
      <c r="U131" s="57">
        <v>1023.13</v>
      </c>
      <c r="V131"/>
      <c r="W131" s="55"/>
      <c r="X131"/>
      <c r="Y131"/>
      <c r="Z131"/>
      <c r="AA131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38"/>
      <c r="AW131" s="38"/>
      <c r="AX131" s="38"/>
      <c r="AY131" s="38"/>
      <c r="AZ131" s="6" t="s">
        <v>57</v>
      </c>
      <c r="BA131" s="38"/>
      <c r="BB131" s="6"/>
      <c r="BC131" s="6"/>
      <c r="BD131" s="6"/>
      <c r="BE131" s="6"/>
      <c r="BF131" s="6"/>
      <c r="BG131" s="6"/>
      <c r="BH131" s="6"/>
      <c r="BI131" s="6"/>
      <c r="BJ131" s="6"/>
      <c r="BK131" s="6"/>
    </row>
    <row r="132" spans="1:63" s="19" customFormat="1" ht="34.5" x14ac:dyDescent="0.25">
      <c r="A132" s="52"/>
      <c r="B132" s="53" t="s">
        <v>149</v>
      </c>
      <c r="C132" s="104" t="s">
        <v>150</v>
      </c>
      <c r="D132" s="104"/>
      <c r="E132" s="104"/>
      <c r="F132" s="104"/>
      <c r="G132" s="104"/>
      <c r="H132" s="54" t="s">
        <v>60</v>
      </c>
      <c r="I132" s="58">
        <v>91</v>
      </c>
      <c r="J132" s="55"/>
      <c r="K132" s="58">
        <v>91</v>
      </c>
      <c r="L132" s="56"/>
      <c r="M132" s="55"/>
      <c r="N132" s="56"/>
      <c r="O132" s="55"/>
      <c r="P132" s="77">
        <v>1070.7074999999998</v>
      </c>
      <c r="Q132"/>
      <c r="R132"/>
      <c r="S132"/>
      <c r="T132">
        <f>T290</f>
        <v>0</v>
      </c>
      <c r="U132" s="65">
        <v>931.05</v>
      </c>
      <c r="V132"/>
      <c r="W132" s="58">
        <v>91</v>
      </c>
      <c r="X132"/>
      <c r="Y132"/>
      <c r="Z132"/>
      <c r="AA132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38"/>
      <c r="AW132" s="38"/>
      <c r="AX132" s="38"/>
      <c r="AY132" s="38"/>
      <c r="AZ132" s="6" t="s">
        <v>150</v>
      </c>
      <c r="BA132" s="38"/>
      <c r="BB132" s="6"/>
      <c r="BC132" s="6"/>
      <c r="BD132" s="6"/>
      <c r="BE132" s="6"/>
      <c r="BF132" s="6"/>
      <c r="BG132" s="6"/>
      <c r="BH132" s="6"/>
      <c r="BI132" s="6"/>
      <c r="BJ132" s="6"/>
      <c r="BK132" s="6"/>
    </row>
    <row r="133" spans="1:63" s="19" customFormat="1" ht="34.5" x14ac:dyDescent="0.25">
      <c r="A133" s="52"/>
      <c r="B133" s="53" t="s">
        <v>151</v>
      </c>
      <c r="C133" s="104" t="s">
        <v>152</v>
      </c>
      <c r="D133" s="104"/>
      <c r="E133" s="104"/>
      <c r="F133" s="104"/>
      <c r="G133" s="104"/>
      <c r="H133" s="54" t="s">
        <v>60</v>
      </c>
      <c r="I133" s="58">
        <v>52</v>
      </c>
      <c r="J133" s="55"/>
      <c r="K133" s="58">
        <v>52</v>
      </c>
      <c r="L133" s="56"/>
      <c r="M133" s="55"/>
      <c r="N133" s="56"/>
      <c r="O133" s="55"/>
      <c r="P133" s="77">
        <v>611.83449999999993</v>
      </c>
      <c r="Q133"/>
      <c r="R133"/>
      <c r="S133"/>
      <c r="T133">
        <f>T290</f>
        <v>0</v>
      </c>
      <c r="U133" s="65">
        <v>532.03</v>
      </c>
      <c r="V133"/>
      <c r="W133" s="58">
        <v>52</v>
      </c>
      <c r="X133"/>
      <c r="Y133"/>
      <c r="Z133"/>
      <c r="AA133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38"/>
      <c r="AW133" s="38"/>
      <c r="AX133" s="38"/>
      <c r="AY133" s="38"/>
      <c r="AZ133" s="6" t="s">
        <v>152</v>
      </c>
      <c r="BA133" s="38"/>
      <c r="BB133" s="6"/>
      <c r="BC133" s="6"/>
      <c r="BD133" s="6"/>
      <c r="BE133" s="6"/>
      <c r="BF133" s="6"/>
      <c r="BG133" s="6"/>
      <c r="BH133" s="6"/>
      <c r="BI133" s="6"/>
      <c r="BJ133" s="6"/>
      <c r="BK133" s="6"/>
    </row>
    <row r="134" spans="1:63" s="19" customFormat="1" ht="15" x14ac:dyDescent="0.25">
      <c r="A134" s="59"/>
      <c r="B134" s="60"/>
      <c r="C134" s="102" t="s">
        <v>63</v>
      </c>
      <c r="D134" s="102"/>
      <c r="E134" s="102"/>
      <c r="F134" s="102"/>
      <c r="G134" s="102"/>
      <c r="H134" s="41"/>
      <c r="I134" s="42"/>
      <c r="J134" s="42"/>
      <c r="K134" s="42"/>
      <c r="L134" s="45"/>
      <c r="M134" s="42"/>
      <c r="N134" s="49">
        <v>84588.08</v>
      </c>
      <c r="O134" s="42"/>
      <c r="P134" s="50">
        <v>2871.5959999999995</v>
      </c>
      <c r="Q134"/>
      <c r="R134"/>
      <c r="S134"/>
      <c r="T134">
        <f>T290</f>
        <v>0</v>
      </c>
      <c r="U134" s="50">
        <f>2497.04*(K129/W129)</f>
        <v>2497.04</v>
      </c>
      <c r="V134"/>
      <c r="W134" s="42"/>
      <c r="X134"/>
      <c r="Y134"/>
      <c r="Z134"/>
      <c r="AA134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38"/>
      <c r="AW134" s="38"/>
      <c r="AX134" s="38"/>
      <c r="AY134" s="38"/>
      <c r="AZ134" s="6"/>
      <c r="BA134" s="38" t="s">
        <v>63</v>
      </c>
      <c r="BB134" s="6"/>
      <c r="BC134" s="6"/>
      <c r="BD134" s="6"/>
      <c r="BE134" s="6"/>
      <c r="BF134" s="6"/>
      <c r="BG134" s="6"/>
      <c r="BH134" s="6"/>
      <c r="BI134" s="6"/>
      <c r="BJ134" s="6"/>
      <c r="BK134" s="6"/>
    </row>
    <row r="135" spans="1:63" s="19" customFormat="1" ht="23.25" x14ac:dyDescent="0.25">
      <c r="A135" s="39" t="s">
        <v>153</v>
      </c>
      <c r="B135" s="40" t="s">
        <v>154</v>
      </c>
      <c r="C135" s="103" t="s">
        <v>155</v>
      </c>
      <c r="D135" s="103"/>
      <c r="E135" s="103"/>
      <c r="F135" s="103"/>
      <c r="G135" s="103"/>
      <c r="H135" s="41" t="s">
        <v>55</v>
      </c>
      <c r="I135" s="42">
        <v>0.17399999999999999</v>
      </c>
      <c r="J135" s="43">
        <v>1</v>
      </c>
      <c r="K135" s="69">
        <v>1.7399999999999999E-2</v>
      </c>
      <c r="L135" s="45"/>
      <c r="M135" s="42"/>
      <c r="N135" s="45"/>
      <c r="O135" s="42"/>
      <c r="P135" s="50"/>
      <c r="Q135"/>
      <c r="R135"/>
      <c r="S135"/>
      <c r="T135"/>
      <c r="U135" s="46"/>
      <c r="V135"/>
      <c r="W135" s="69">
        <v>2.9520000000000001E-2</v>
      </c>
      <c r="X135"/>
      <c r="Y135"/>
      <c r="Z135"/>
      <c r="AA135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38"/>
      <c r="AW135" s="38"/>
      <c r="AX135" s="38" t="s">
        <v>155</v>
      </c>
      <c r="AY135" s="38"/>
      <c r="AZ135" s="6"/>
      <c r="BA135" s="38"/>
      <c r="BB135" s="6"/>
      <c r="BC135" s="6"/>
      <c r="BD135" s="6"/>
      <c r="BE135" s="6"/>
      <c r="BF135" s="6"/>
      <c r="BG135" s="6"/>
      <c r="BH135" s="6"/>
      <c r="BI135" s="6"/>
      <c r="BJ135" s="6"/>
      <c r="BK135" s="6"/>
    </row>
    <row r="136" spans="1:63" s="19" customFormat="1" ht="15" x14ac:dyDescent="0.25">
      <c r="A136" s="47"/>
      <c r="B136" s="48"/>
      <c r="C136" s="102" t="s">
        <v>56</v>
      </c>
      <c r="D136" s="102"/>
      <c r="E136" s="102"/>
      <c r="F136" s="102"/>
      <c r="G136" s="102"/>
      <c r="H136" s="41"/>
      <c r="I136" s="42"/>
      <c r="J136" s="42"/>
      <c r="K136" s="42"/>
      <c r="L136" s="45"/>
      <c r="M136" s="42"/>
      <c r="N136" s="49"/>
      <c r="O136" s="42"/>
      <c r="P136" s="50">
        <v>4647.6214999999993</v>
      </c>
      <c r="Q136" s="51"/>
      <c r="R136" s="51"/>
      <c r="S136"/>
      <c r="T136">
        <f>T290</f>
        <v>0</v>
      </c>
      <c r="U136" s="50">
        <v>4041.41</v>
      </c>
      <c r="V136"/>
      <c r="W136" s="42"/>
      <c r="X136"/>
      <c r="Y136"/>
      <c r="Z136"/>
      <c r="AA13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38"/>
      <c r="AW136" s="38"/>
      <c r="AX136" s="38"/>
      <c r="AY136" s="38" t="s">
        <v>56</v>
      </c>
      <c r="AZ136" s="6"/>
      <c r="BA136" s="38"/>
      <c r="BB136" s="6"/>
      <c r="BC136" s="6"/>
      <c r="BD136" s="6"/>
      <c r="BE136" s="6"/>
      <c r="BF136" s="6"/>
      <c r="BG136" s="6"/>
      <c r="BH136" s="6"/>
      <c r="BI136" s="6"/>
      <c r="BJ136" s="6"/>
      <c r="BK136" s="6"/>
    </row>
    <row r="137" spans="1:63" s="19" customFormat="1" ht="15" x14ac:dyDescent="0.25">
      <c r="A137" s="52"/>
      <c r="B137" s="53"/>
      <c r="C137" s="104" t="s">
        <v>57</v>
      </c>
      <c r="D137" s="104"/>
      <c r="E137" s="104"/>
      <c r="F137" s="104"/>
      <c r="G137" s="104"/>
      <c r="H137" s="54"/>
      <c r="I137" s="55"/>
      <c r="J137" s="55"/>
      <c r="K137" s="55"/>
      <c r="L137" s="56"/>
      <c r="M137" s="55"/>
      <c r="N137" s="56"/>
      <c r="O137" s="55"/>
      <c r="P137" s="77">
        <v>2636.3979999999997</v>
      </c>
      <c r="Q137"/>
      <c r="R137"/>
      <c r="S137"/>
      <c r="T137">
        <f>T290</f>
        <v>0</v>
      </c>
      <c r="U137" s="57">
        <v>2292.52</v>
      </c>
      <c r="V137"/>
      <c r="W137" s="55"/>
      <c r="X137"/>
      <c r="Y137"/>
      <c r="Z137"/>
      <c r="AA137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38"/>
      <c r="AW137" s="38"/>
      <c r="AX137" s="38"/>
      <c r="AY137" s="38"/>
      <c r="AZ137" s="6" t="s">
        <v>57</v>
      </c>
      <c r="BA137" s="38"/>
      <c r="BB137" s="6"/>
      <c r="BC137" s="6"/>
      <c r="BD137" s="6"/>
      <c r="BE137" s="6"/>
      <c r="BF137" s="6"/>
      <c r="BG137" s="6"/>
      <c r="BH137" s="6"/>
      <c r="BI137" s="6"/>
      <c r="BJ137" s="6"/>
      <c r="BK137" s="6"/>
    </row>
    <row r="138" spans="1:63" s="19" customFormat="1" ht="15" x14ac:dyDescent="0.25">
      <c r="A138" s="52"/>
      <c r="B138" s="53" t="s">
        <v>98</v>
      </c>
      <c r="C138" s="104" t="s">
        <v>99</v>
      </c>
      <c r="D138" s="104"/>
      <c r="E138" s="104"/>
      <c r="F138" s="104"/>
      <c r="G138" s="104"/>
      <c r="H138" s="54" t="s">
        <v>60</v>
      </c>
      <c r="I138" s="58">
        <v>108</v>
      </c>
      <c r="J138" s="55"/>
      <c r="K138" s="58">
        <v>108</v>
      </c>
      <c r="L138" s="56"/>
      <c r="M138" s="55"/>
      <c r="N138" s="56"/>
      <c r="O138" s="55"/>
      <c r="P138" s="77">
        <v>2847.308</v>
      </c>
      <c r="Q138"/>
      <c r="R138"/>
      <c r="S138"/>
      <c r="T138">
        <f>T290</f>
        <v>0</v>
      </c>
      <c r="U138" s="57">
        <v>2475.92</v>
      </c>
      <c r="V138"/>
      <c r="W138" s="58">
        <v>108</v>
      </c>
      <c r="X138"/>
      <c r="Y138"/>
      <c r="Z138"/>
      <c r="AA138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38"/>
      <c r="AW138" s="38"/>
      <c r="AX138" s="38"/>
      <c r="AY138" s="38"/>
      <c r="AZ138" s="6" t="s">
        <v>99</v>
      </c>
      <c r="BA138" s="38"/>
      <c r="BB138" s="6"/>
      <c r="BC138" s="6"/>
      <c r="BD138" s="6"/>
      <c r="BE138" s="6"/>
      <c r="BF138" s="6"/>
      <c r="BG138" s="6"/>
      <c r="BH138" s="6"/>
      <c r="BI138" s="6"/>
      <c r="BJ138" s="6"/>
      <c r="BK138" s="6"/>
    </row>
    <row r="139" spans="1:63" s="19" customFormat="1" ht="15" x14ac:dyDescent="0.25">
      <c r="A139" s="52"/>
      <c r="B139" s="53" t="s">
        <v>100</v>
      </c>
      <c r="C139" s="104" t="s">
        <v>101</v>
      </c>
      <c r="D139" s="104"/>
      <c r="E139" s="104"/>
      <c r="F139" s="104"/>
      <c r="G139" s="104"/>
      <c r="H139" s="54" t="s">
        <v>60</v>
      </c>
      <c r="I139" s="58">
        <v>55</v>
      </c>
      <c r="J139" s="55"/>
      <c r="K139" s="58">
        <v>55</v>
      </c>
      <c r="L139" s="56"/>
      <c r="M139" s="55"/>
      <c r="N139" s="56"/>
      <c r="O139" s="55"/>
      <c r="P139" s="77">
        <v>1450.0235</v>
      </c>
      <c r="Q139"/>
      <c r="R139"/>
      <c r="S139"/>
      <c r="T139">
        <f>T290</f>
        <v>0</v>
      </c>
      <c r="U139" s="57">
        <v>1260.8900000000001</v>
      </c>
      <c r="V139"/>
      <c r="W139" s="58">
        <v>55</v>
      </c>
      <c r="X139"/>
      <c r="Y139"/>
      <c r="Z139"/>
      <c r="AA139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38"/>
      <c r="AW139" s="38"/>
      <c r="AX139" s="38"/>
      <c r="AY139" s="38"/>
      <c r="AZ139" s="6" t="s">
        <v>101</v>
      </c>
      <c r="BA139" s="38"/>
      <c r="BB139" s="6"/>
      <c r="BC139" s="6"/>
      <c r="BD139" s="6"/>
      <c r="BE139" s="6"/>
      <c r="BF139" s="6"/>
      <c r="BG139" s="6"/>
      <c r="BH139" s="6"/>
      <c r="BI139" s="6"/>
      <c r="BJ139" s="6"/>
      <c r="BK139" s="6"/>
    </row>
    <row r="140" spans="1:63" s="19" customFormat="1" ht="15" x14ac:dyDescent="0.25">
      <c r="A140" s="59"/>
      <c r="B140" s="60"/>
      <c r="C140" s="102" t="s">
        <v>63</v>
      </c>
      <c r="D140" s="102"/>
      <c r="E140" s="102"/>
      <c r="F140" s="102"/>
      <c r="G140" s="102"/>
      <c r="H140" s="41"/>
      <c r="I140" s="42"/>
      <c r="J140" s="42"/>
      <c r="K140" s="42"/>
      <c r="L140" s="45"/>
      <c r="M140" s="42"/>
      <c r="N140" s="49">
        <v>263489.84000000003</v>
      </c>
      <c r="O140" s="42"/>
      <c r="P140" s="50">
        <v>7696.5381504065026</v>
      </c>
      <c r="Q140"/>
      <c r="R140"/>
      <c r="S140"/>
      <c r="T140">
        <f>T290</f>
        <v>0</v>
      </c>
      <c r="U140" s="50">
        <f>7778.22*(K135/W135)</f>
        <v>4584.7231707317069</v>
      </c>
      <c r="V140"/>
      <c r="W140" s="42"/>
      <c r="X140"/>
      <c r="Y140"/>
      <c r="Z140"/>
      <c r="AA140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38"/>
      <c r="AW140" s="38"/>
      <c r="AX140" s="38"/>
      <c r="AY140" s="38"/>
      <c r="AZ140" s="6"/>
      <c r="BA140" s="38" t="s">
        <v>63</v>
      </c>
      <c r="BB140" s="6"/>
      <c r="BC140" s="6"/>
      <c r="BD140" s="6"/>
      <c r="BE140" s="6"/>
      <c r="BF140" s="6"/>
      <c r="BG140" s="6"/>
      <c r="BH140" s="6"/>
      <c r="BI140" s="6"/>
      <c r="BJ140" s="6"/>
      <c r="BK140" s="6"/>
    </row>
    <row r="141" spans="1:63" s="19" customFormat="1" ht="45.75" x14ac:dyDescent="0.25">
      <c r="A141" s="39" t="s">
        <v>156</v>
      </c>
      <c r="B141" s="40" t="s">
        <v>157</v>
      </c>
      <c r="C141" s="103" t="s">
        <v>158</v>
      </c>
      <c r="D141" s="103"/>
      <c r="E141" s="103"/>
      <c r="F141" s="103"/>
      <c r="G141" s="103"/>
      <c r="H141" s="41" t="s">
        <v>105</v>
      </c>
      <c r="I141" s="42">
        <v>0.17399999999999999</v>
      </c>
      <c r="J141" s="43">
        <v>1</v>
      </c>
      <c r="K141" s="66">
        <v>0.17399999999999999</v>
      </c>
      <c r="L141" s="49">
        <v>8723.2999999999993</v>
      </c>
      <c r="M141" s="62">
        <v>1.17</v>
      </c>
      <c r="N141" s="49">
        <v>10206.26</v>
      </c>
      <c r="O141" s="42"/>
      <c r="P141" s="50">
        <v>35774.98312195122</v>
      </c>
      <c r="Q141"/>
      <c r="R141"/>
      <c r="S141"/>
      <c r="T141">
        <f>T290</f>
        <v>0</v>
      </c>
      <c r="U141" s="50">
        <f>U142</f>
        <v>2131.0671219512196</v>
      </c>
      <c r="V141"/>
      <c r="W141" s="66">
        <v>2.952</v>
      </c>
      <c r="X141"/>
      <c r="Y141"/>
      <c r="Z141"/>
      <c r="AA141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38"/>
      <c r="AW141" s="38"/>
      <c r="AX141" s="38" t="s">
        <v>158</v>
      </c>
      <c r="AY141" s="38"/>
      <c r="AZ141" s="6"/>
      <c r="BA141" s="38"/>
      <c r="BB141" s="6"/>
      <c r="BC141" s="6"/>
      <c r="BD141" s="6"/>
      <c r="BE141" s="6"/>
      <c r="BF141" s="6"/>
      <c r="BG141" s="6"/>
      <c r="BH141" s="6"/>
      <c r="BI141" s="6"/>
      <c r="BJ141" s="6"/>
      <c r="BK141" s="6"/>
    </row>
    <row r="142" spans="1:63" s="19" customFormat="1" ht="15" x14ac:dyDescent="0.25">
      <c r="A142" s="59"/>
      <c r="B142" s="60"/>
      <c r="C142" s="102" t="s">
        <v>63</v>
      </c>
      <c r="D142" s="102"/>
      <c r="E142" s="102"/>
      <c r="F142" s="102"/>
      <c r="G142" s="102"/>
      <c r="H142" s="41"/>
      <c r="I142" s="42"/>
      <c r="J142" s="42"/>
      <c r="K142" s="42"/>
      <c r="L142" s="45"/>
      <c r="M142" s="42"/>
      <c r="N142" s="45"/>
      <c r="O142" s="42"/>
      <c r="P142" s="50">
        <v>35774.98312195122</v>
      </c>
      <c r="Q142"/>
      <c r="R142"/>
      <c r="S142"/>
      <c r="T142">
        <f>T290</f>
        <v>0</v>
      </c>
      <c r="U142" s="50">
        <f>1.2*30128.88*(K141/W141)</f>
        <v>2131.0671219512196</v>
      </c>
      <c r="V142"/>
      <c r="X142"/>
      <c r="Y142"/>
      <c r="Z142"/>
      <c r="AA142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38"/>
      <c r="AW142" s="38"/>
      <c r="AX142" s="38"/>
      <c r="AY142" s="38"/>
      <c r="AZ142" s="6"/>
      <c r="BA142" s="38" t="s">
        <v>63</v>
      </c>
      <c r="BB142" s="6"/>
      <c r="BC142" s="6"/>
      <c r="BD142" s="6"/>
      <c r="BE142" s="6"/>
      <c r="BF142" s="6"/>
      <c r="BG142" s="6"/>
      <c r="BH142" s="6"/>
      <c r="BI142" s="6"/>
      <c r="BJ142" s="6"/>
      <c r="BK142" s="6"/>
    </row>
    <row r="143" spans="1:63" s="19" customFormat="1" ht="15" x14ac:dyDescent="0.25">
      <c r="A143" s="107" t="s">
        <v>159</v>
      </c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9"/>
      <c r="Q143"/>
      <c r="R143"/>
      <c r="S143"/>
      <c r="T143"/>
      <c r="U143"/>
      <c r="V143"/>
      <c r="W143"/>
      <c r="X143"/>
      <c r="Y143"/>
      <c r="Z143"/>
      <c r="AA143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38"/>
      <c r="AW143" s="38" t="s">
        <v>159</v>
      </c>
      <c r="AX143" s="38"/>
      <c r="AY143" s="38"/>
      <c r="AZ143" s="6"/>
      <c r="BA143" s="38"/>
      <c r="BB143" s="6"/>
      <c r="BC143" s="6"/>
      <c r="BD143" s="6"/>
      <c r="BE143" s="6"/>
      <c r="BF143" s="6"/>
      <c r="BG143" s="6"/>
      <c r="BH143" s="6"/>
      <c r="BI143" s="6"/>
      <c r="BJ143" s="6"/>
      <c r="BK143" s="6"/>
    </row>
    <row r="144" spans="1:63" s="19" customFormat="1" ht="15" x14ac:dyDescent="0.25">
      <c r="A144" s="39" t="s">
        <v>160</v>
      </c>
      <c r="B144" s="40" t="s">
        <v>161</v>
      </c>
      <c r="C144" s="103" t="s">
        <v>162</v>
      </c>
      <c r="D144" s="103"/>
      <c r="E144" s="103"/>
      <c r="F144" s="103"/>
      <c r="G144" s="103"/>
      <c r="H144" s="41" t="s">
        <v>55</v>
      </c>
      <c r="I144" s="42">
        <v>0.14899999999999999</v>
      </c>
      <c r="J144" s="43">
        <v>1</v>
      </c>
      <c r="K144" s="44">
        <v>0.14899999999999999</v>
      </c>
      <c r="L144" s="45"/>
      <c r="M144" s="42"/>
      <c r="N144" s="45"/>
      <c r="O144" s="42"/>
      <c r="P144" s="46"/>
      <c r="Q144"/>
      <c r="R144"/>
      <c r="S144"/>
      <c r="T144"/>
      <c r="U144"/>
      <c r="V144"/>
      <c r="W144"/>
      <c r="X144"/>
      <c r="Y144"/>
      <c r="Z144"/>
      <c r="AA144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38"/>
      <c r="AW144" s="38"/>
      <c r="AX144" s="38" t="s">
        <v>162</v>
      </c>
      <c r="AY144" s="38"/>
      <c r="AZ144" s="6"/>
      <c r="BA144" s="38"/>
      <c r="BB144" s="6"/>
      <c r="BC144" s="6"/>
      <c r="BD144" s="6"/>
      <c r="BE144" s="6"/>
      <c r="BF144" s="6"/>
      <c r="BG144" s="6"/>
      <c r="BH144" s="6"/>
      <c r="BI144" s="6"/>
      <c r="BJ144" s="6"/>
      <c r="BK144" s="6"/>
    </row>
    <row r="145" spans="1:63" s="19" customFormat="1" ht="15" x14ac:dyDescent="0.25">
      <c r="A145" s="47"/>
      <c r="B145" s="48"/>
      <c r="C145" s="102" t="s">
        <v>56</v>
      </c>
      <c r="D145" s="102"/>
      <c r="E145" s="102"/>
      <c r="F145" s="102"/>
      <c r="G145" s="102"/>
      <c r="H145" s="41"/>
      <c r="I145" s="42"/>
      <c r="J145" s="42"/>
      <c r="K145" s="42"/>
      <c r="L145" s="45"/>
      <c r="M145" s="42"/>
      <c r="N145" s="49"/>
      <c r="O145" s="42"/>
      <c r="P145" s="50">
        <v>3882.768</v>
      </c>
      <c r="Q145" s="51"/>
      <c r="R145" s="51"/>
      <c r="S145"/>
      <c r="T145">
        <f>T290</f>
        <v>0</v>
      </c>
      <c r="U145" s="50">
        <v>3376.32</v>
      </c>
      <c r="V145"/>
      <c r="W145" s="44">
        <v>0.182</v>
      </c>
      <c r="X145"/>
      <c r="Y145"/>
      <c r="Z145"/>
      <c r="AA145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38"/>
      <c r="AW145" s="38"/>
      <c r="AX145" s="38"/>
      <c r="AY145" s="38" t="s">
        <v>56</v>
      </c>
      <c r="AZ145" s="6"/>
      <c r="BA145" s="38"/>
      <c r="BB145" s="6"/>
      <c r="BC145" s="6"/>
      <c r="BD145" s="6"/>
      <c r="BE145" s="6"/>
      <c r="BF145" s="6"/>
      <c r="BG145" s="6"/>
      <c r="BH145" s="6"/>
      <c r="BI145" s="6"/>
      <c r="BJ145" s="6"/>
      <c r="BK145" s="6"/>
    </row>
    <row r="146" spans="1:63" s="19" customFormat="1" ht="15" x14ac:dyDescent="0.25">
      <c r="A146" s="52"/>
      <c r="B146" s="53"/>
      <c r="C146" s="104" t="s">
        <v>57</v>
      </c>
      <c r="D146" s="104"/>
      <c r="E146" s="104"/>
      <c r="F146" s="104"/>
      <c r="G146" s="104"/>
      <c r="H146" s="54"/>
      <c r="I146" s="55"/>
      <c r="J146" s="55"/>
      <c r="K146" s="55"/>
      <c r="L146" s="56"/>
      <c r="M146" s="55"/>
      <c r="N146" s="56"/>
      <c r="O146" s="55"/>
      <c r="P146" s="77">
        <v>3877.7194999999997</v>
      </c>
      <c r="Q146"/>
      <c r="R146"/>
      <c r="S146"/>
      <c r="T146">
        <f>T290</f>
        <v>0</v>
      </c>
      <c r="U146" s="57">
        <v>3371.93</v>
      </c>
      <c r="V146"/>
      <c r="W146" s="42"/>
      <c r="X146"/>
      <c r="Y146"/>
      <c r="Z146"/>
      <c r="AA14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38"/>
      <c r="AW146" s="38"/>
      <c r="AX146" s="38"/>
      <c r="AY146" s="38"/>
      <c r="AZ146" s="6" t="s">
        <v>57</v>
      </c>
      <c r="BA146" s="38"/>
      <c r="BB146" s="6"/>
      <c r="BC146" s="6"/>
      <c r="BD146" s="6"/>
      <c r="BE146" s="6"/>
      <c r="BF146" s="6"/>
      <c r="BG146" s="6"/>
      <c r="BH146" s="6"/>
      <c r="BI146" s="6"/>
      <c r="BJ146" s="6"/>
      <c r="BK146" s="6"/>
    </row>
    <row r="147" spans="1:63" s="19" customFormat="1" ht="15" x14ac:dyDescent="0.25">
      <c r="A147" s="52"/>
      <c r="B147" s="53" t="s">
        <v>163</v>
      </c>
      <c r="C147" s="104" t="s">
        <v>164</v>
      </c>
      <c r="D147" s="104"/>
      <c r="E147" s="104"/>
      <c r="F147" s="104"/>
      <c r="G147" s="104"/>
      <c r="H147" s="54" t="s">
        <v>60</v>
      </c>
      <c r="I147" s="58">
        <v>89</v>
      </c>
      <c r="J147" s="55"/>
      <c r="K147" s="58">
        <v>89</v>
      </c>
      <c r="L147" s="56"/>
      <c r="M147" s="55"/>
      <c r="N147" s="56"/>
      <c r="O147" s="55"/>
      <c r="P147" s="77">
        <v>3451.1729999999998</v>
      </c>
      <c r="Q147"/>
      <c r="R147"/>
      <c r="S147"/>
      <c r="T147">
        <f>T290</f>
        <v>0</v>
      </c>
      <c r="U147" s="57">
        <v>3001.02</v>
      </c>
      <c r="V147"/>
      <c r="W147" s="55"/>
      <c r="X147"/>
      <c r="Y147"/>
      <c r="Z147"/>
      <c r="AA147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38"/>
      <c r="AW147" s="38"/>
      <c r="AX147" s="38"/>
      <c r="AY147" s="38"/>
      <c r="AZ147" s="6" t="s">
        <v>164</v>
      </c>
      <c r="BA147" s="38"/>
      <c r="BB147" s="6"/>
      <c r="BC147" s="6"/>
      <c r="BD147" s="6"/>
      <c r="BE147" s="6"/>
      <c r="BF147" s="6"/>
      <c r="BG147" s="6"/>
      <c r="BH147" s="6"/>
      <c r="BI147" s="6"/>
      <c r="BJ147" s="6"/>
      <c r="BK147" s="6"/>
    </row>
    <row r="148" spans="1:63" s="19" customFormat="1" ht="15" x14ac:dyDescent="0.25">
      <c r="A148" s="52"/>
      <c r="B148" s="53" t="s">
        <v>165</v>
      </c>
      <c r="C148" s="104" t="s">
        <v>166</v>
      </c>
      <c r="D148" s="104"/>
      <c r="E148" s="104"/>
      <c r="F148" s="104"/>
      <c r="G148" s="104"/>
      <c r="H148" s="54" t="s">
        <v>60</v>
      </c>
      <c r="I148" s="58">
        <v>49</v>
      </c>
      <c r="J148" s="55"/>
      <c r="K148" s="58">
        <v>49</v>
      </c>
      <c r="L148" s="56"/>
      <c r="M148" s="55"/>
      <c r="N148" s="56"/>
      <c r="O148" s="55"/>
      <c r="P148" s="77">
        <v>1900.0874999999999</v>
      </c>
      <c r="Q148"/>
      <c r="R148"/>
      <c r="S148"/>
      <c r="T148">
        <f>T290</f>
        <v>0</v>
      </c>
      <c r="U148" s="57">
        <v>1652.25</v>
      </c>
      <c r="V148"/>
      <c r="W148" s="58">
        <v>89</v>
      </c>
      <c r="X148"/>
      <c r="Y148"/>
      <c r="Z148"/>
      <c r="AA148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38"/>
      <c r="AW148" s="38"/>
      <c r="AX148" s="38"/>
      <c r="AY148" s="38"/>
      <c r="AZ148" s="6" t="s">
        <v>166</v>
      </c>
      <c r="BA148" s="38"/>
      <c r="BB148" s="6"/>
      <c r="BC148" s="6"/>
      <c r="BD148" s="6"/>
      <c r="BE148" s="6"/>
      <c r="BF148" s="6"/>
      <c r="BG148" s="6"/>
      <c r="BH148" s="6"/>
      <c r="BI148" s="6"/>
      <c r="BJ148" s="6"/>
      <c r="BK148" s="6"/>
    </row>
    <row r="149" spans="1:63" s="19" customFormat="1" ht="15" x14ac:dyDescent="0.25">
      <c r="A149" s="59"/>
      <c r="B149" s="60"/>
      <c r="C149" s="102" t="s">
        <v>63</v>
      </c>
      <c r="D149" s="102"/>
      <c r="E149" s="102"/>
      <c r="F149" s="102"/>
      <c r="G149" s="102"/>
      <c r="H149" s="41"/>
      <c r="I149" s="42"/>
      <c r="J149" s="42"/>
      <c r="K149" s="42"/>
      <c r="L149" s="45"/>
      <c r="M149" s="42"/>
      <c r="N149" s="49">
        <v>68453.45</v>
      </c>
      <c r="O149" s="42"/>
      <c r="P149" s="50">
        <v>9234.0285000000003</v>
      </c>
      <c r="Q149"/>
      <c r="R149"/>
      <c r="S149"/>
      <c r="T149">
        <f>T290</f>
        <v>0</v>
      </c>
      <c r="U149" s="50">
        <f>8029.59*(K144/W145)</f>
        <v>6573.67532967033</v>
      </c>
      <c r="V149"/>
      <c r="W149" s="58">
        <v>49</v>
      </c>
      <c r="X149"/>
      <c r="Y149"/>
      <c r="Z149"/>
      <c r="AA149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38"/>
      <c r="AW149" s="38"/>
      <c r="AX149" s="38"/>
      <c r="AY149" s="38"/>
      <c r="AZ149" s="6"/>
      <c r="BA149" s="38" t="s">
        <v>63</v>
      </c>
      <c r="BB149" s="6"/>
      <c r="BC149" s="6"/>
      <c r="BD149" s="6"/>
      <c r="BE149" s="6"/>
      <c r="BF149" s="6"/>
      <c r="BG149" s="6"/>
      <c r="BH149" s="6"/>
      <c r="BI149" s="6"/>
      <c r="BJ149" s="6"/>
      <c r="BK149" s="6"/>
    </row>
    <row r="150" spans="1:63" s="19" customFormat="1" ht="15" x14ac:dyDescent="0.25">
      <c r="A150" s="39" t="s">
        <v>167</v>
      </c>
      <c r="B150" s="40" t="s">
        <v>168</v>
      </c>
      <c r="C150" s="103" t="s">
        <v>169</v>
      </c>
      <c r="D150" s="103"/>
      <c r="E150" s="103"/>
      <c r="F150" s="103"/>
      <c r="G150" s="103"/>
      <c r="H150" s="41" t="s">
        <v>170</v>
      </c>
      <c r="I150" s="42">
        <v>0.59599999999999997</v>
      </c>
      <c r="J150" s="43">
        <v>1</v>
      </c>
      <c r="K150" s="66">
        <v>0.59599999999999997</v>
      </c>
      <c r="L150" s="45"/>
      <c r="M150" s="42"/>
      <c r="N150" s="45"/>
      <c r="O150" s="42"/>
      <c r="P150" s="50"/>
      <c r="Q150"/>
      <c r="R150"/>
      <c r="S150"/>
      <c r="T150"/>
      <c r="U150" s="46"/>
      <c r="V150"/>
      <c r="W150" s="42"/>
      <c r="X150"/>
      <c r="Y150"/>
      <c r="Z150"/>
      <c r="AA150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38"/>
      <c r="AW150" s="38"/>
      <c r="AX150" s="38" t="s">
        <v>169</v>
      </c>
      <c r="AY150" s="38"/>
      <c r="AZ150" s="6"/>
      <c r="BA150" s="38"/>
      <c r="BB150" s="6"/>
      <c r="BC150" s="6"/>
      <c r="BD150" s="6"/>
      <c r="BE150" s="6"/>
      <c r="BF150" s="6"/>
      <c r="BG150" s="6"/>
      <c r="BH150" s="6"/>
      <c r="BI150" s="6"/>
      <c r="BJ150" s="6"/>
      <c r="BK150" s="6"/>
    </row>
    <row r="151" spans="1:63" s="19" customFormat="1" ht="15" x14ac:dyDescent="0.25">
      <c r="A151" s="47"/>
      <c r="B151" s="48"/>
      <c r="C151" s="102" t="s">
        <v>56</v>
      </c>
      <c r="D151" s="102"/>
      <c r="E151" s="102"/>
      <c r="F151" s="102"/>
      <c r="G151" s="102"/>
      <c r="H151" s="41"/>
      <c r="I151" s="42"/>
      <c r="J151" s="42"/>
      <c r="K151" s="42"/>
      <c r="L151" s="45"/>
      <c r="M151" s="42"/>
      <c r="N151" s="49"/>
      <c r="O151" s="42"/>
      <c r="P151" s="50">
        <v>3946.6964999999996</v>
      </c>
      <c r="Q151" s="51"/>
      <c r="R151" s="51"/>
      <c r="S151"/>
      <c r="T151">
        <f>T290</f>
        <v>0</v>
      </c>
      <c r="U151" s="50">
        <v>3431.91</v>
      </c>
      <c r="V151"/>
      <c r="W151" s="62">
        <v>0.621</v>
      </c>
      <c r="X151"/>
      <c r="Y151"/>
      <c r="Z151"/>
      <c r="AA151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38"/>
      <c r="AW151" s="38"/>
      <c r="AX151" s="38"/>
      <c r="AY151" s="38" t="s">
        <v>56</v>
      </c>
      <c r="AZ151" s="6"/>
      <c r="BA151" s="38"/>
      <c r="BB151" s="6"/>
      <c r="BC151" s="6"/>
      <c r="BD151" s="6"/>
      <c r="BE151" s="6"/>
      <c r="BF151" s="6"/>
      <c r="BG151" s="6"/>
      <c r="BH151" s="6"/>
      <c r="BI151" s="6"/>
      <c r="BJ151" s="6"/>
      <c r="BK151" s="6"/>
    </row>
    <row r="152" spans="1:63" s="19" customFormat="1" ht="15" x14ac:dyDescent="0.25">
      <c r="A152" s="52"/>
      <c r="B152" s="53"/>
      <c r="C152" s="104" t="s">
        <v>57</v>
      </c>
      <c r="D152" s="104"/>
      <c r="E152" s="104"/>
      <c r="F152" s="104"/>
      <c r="G152" s="104"/>
      <c r="H152" s="54"/>
      <c r="I152" s="55"/>
      <c r="J152" s="55"/>
      <c r="K152" s="55"/>
      <c r="L152" s="56"/>
      <c r="M152" s="55"/>
      <c r="N152" s="56"/>
      <c r="O152" s="55"/>
      <c r="P152" s="77">
        <v>3555.4089999999997</v>
      </c>
      <c r="Q152"/>
      <c r="R152"/>
      <c r="S152"/>
      <c r="T152">
        <f>T290</f>
        <v>0</v>
      </c>
      <c r="U152" s="57">
        <v>3091.66</v>
      </c>
      <c r="V152"/>
      <c r="W152" s="42"/>
      <c r="X152"/>
      <c r="Y152"/>
      <c r="Z152"/>
      <c r="AA152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38"/>
      <c r="AW152" s="38"/>
      <c r="AX152" s="38"/>
      <c r="AY152" s="38"/>
      <c r="AZ152" s="6" t="s">
        <v>57</v>
      </c>
      <c r="BA152" s="38"/>
      <c r="BB152" s="6"/>
      <c r="BC152" s="6"/>
      <c r="BD152" s="6"/>
      <c r="BE152" s="6"/>
      <c r="BF152" s="6"/>
      <c r="BG152" s="6"/>
      <c r="BH152" s="6"/>
      <c r="BI152" s="6"/>
      <c r="BJ152" s="6"/>
      <c r="BK152" s="6"/>
    </row>
    <row r="153" spans="1:63" s="19" customFormat="1" ht="34.5" x14ac:dyDescent="0.25">
      <c r="A153" s="52"/>
      <c r="B153" s="53" t="s">
        <v>149</v>
      </c>
      <c r="C153" s="104" t="s">
        <v>150</v>
      </c>
      <c r="D153" s="104"/>
      <c r="E153" s="104"/>
      <c r="F153" s="104"/>
      <c r="G153" s="104"/>
      <c r="H153" s="54" t="s">
        <v>60</v>
      </c>
      <c r="I153" s="58">
        <v>91</v>
      </c>
      <c r="J153" s="55"/>
      <c r="K153" s="58">
        <v>91</v>
      </c>
      <c r="L153" s="56"/>
      <c r="M153" s="55"/>
      <c r="N153" s="56"/>
      <c r="O153" s="55"/>
      <c r="P153" s="77">
        <v>3235.4214999999995</v>
      </c>
      <c r="Q153"/>
      <c r="R153"/>
      <c r="S153"/>
      <c r="T153">
        <f>T290</f>
        <v>0</v>
      </c>
      <c r="U153" s="57">
        <v>2813.41</v>
      </c>
      <c r="V153"/>
      <c r="W153" s="55"/>
      <c r="X153"/>
      <c r="Y153"/>
      <c r="Z153"/>
      <c r="AA153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38"/>
      <c r="AW153" s="38"/>
      <c r="AX153" s="38"/>
      <c r="AY153" s="38"/>
      <c r="AZ153" s="6" t="s">
        <v>150</v>
      </c>
      <c r="BA153" s="38"/>
      <c r="BB153" s="6"/>
      <c r="BC153" s="6"/>
      <c r="BD153" s="6"/>
      <c r="BE153" s="6"/>
      <c r="BF153" s="6"/>
      <c r="BG153" s="6"/>
      <c r="BH153" s="6"/>
      <c r="BI153" s="6"/>
      <c r="BJ153" s="6"/>
      <c r="BK153" s="6"/>
    </row>
    <row r="154" spans="1:63" s="19" customFormat="1" ht="34.5" x14ac:dyDescent="0.25">
      <c r="A154" s="52"/>
      <c r="B154" s="53" t="s">
        <v>151</v>
      </c>
      <c r="C154" s="104" t="s">
        <v>152</v>
      </c>
      <c r="D154" s="104"/>
      <c r="E154" s="104"/>
      <c r="F154" s="104"/>
      <c r="G154" s="104"/>
      <c r="H154" s="54" t="s">
        <v>60</v>
      </c>
      <c r="I154" s="58">
        <v>52</v>
      </c>
      <c r="J154" s="55"/>
      <c r="K154" s="58">
        <v>52</v>
      </c>
      <c r="L154" s="56"/>
      <c r="M154" s="55"/>
      <c r="N154" s="56"/>
      <c r="O154" s="55"/>
      <c r="P154" s="77">
        <v>1848.809</v>
      </c>
      <c r="Q154"/>
      <c r="R154"/>
      <c r="S154"/>
      <c r="T154">
        <f>T290</f>
        <v>0</v>
      </c>
      <c r="U154" s="57">
        <v>1607.66</v>
      </c>
      <c r="V154"/>
      <c r="W154" s="58">
        <v>91</v>
      </c>
      <c r="X154"/>
      <c r="Y154"/>
      <c r="Z154"/>
      <c r="AA154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38"/>
      <c r="AW154" s="38"/>
      <c r="AX154" s="38"/>
      <c r="AY154" s="38"/>
      <c r="AZ154" s="6" t="s">
        <v>152</v>
      </c>
      <c r="BA154" s="38"/>
      <c r="BB154" s="6"/>
      <c r="BC154" s="6"/>
      <c r="BD154" s="6"/>
      <c r="BE154" s="6"/>
      <c r="BF154" s="6"/>
      <c r="BG154" s="6"/>
      <c r="BH154" s="6"/>
      <c r="BI154" s="6"/>
      <c r="BJ154" s="6"/>
      <c r="BK154" s="6"/>
    </row>
    <row r="155" spans="1:63" s="19" customFormat="1" ht="15" x14ac:dyDescent="0.25">
      <c r="A155" s="59"/>
      <c r="B155" s="60"/>
      <c r="C155" s="102" t="s">
        <v>63</v>
      </c>
      <c r="D155" s="102"/>
      <c r="E155" s="102"/>
      <c r="F155" s="102"/>
      <c r="G155" s="102"/>
      <c r="H155" s="41"/>
      <c r="I155" s="42"/>
      <c r="J155" s="42"/>
      <c r="K155" s="42"/>
      <c r="L155" s="45"/>
      <c r="M155" s="42"/>
      <c r="N155" s="49">
        <v>8013.24</v>
      </c>
      <c r="O155" s="42"/>
      <c r="P155" s="50">
        <v>9030.9269999999997</v>
      </c>
      <c r="Q155"/>
      <c r="R155"/>
      <c r="S155"/>
      <c r="T155">
        <f>T290</f>
        <v>0</v>
      </c>
      <c r="U155" s="50">
        <f>7852.98*(K150/W151)</f>
        <v>7536.837487922704</v>
      </c>
      <c r="V155"/>
      <c r="W155" s="58">
        <v>52</v>
      </c>
      <c r="X155"/>
      <c r="Y155"/>
      <c r="Z155"/>
      <c r="AA155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38"/>
      <c r="AW155" s="38"/>
      <c r="AX155" s="38"/>
      <c r="AY155" s="38"/>
      <c r="AZ155" s="6"/>
      <c r="BA155" s="38" t="s">
        <v>63</v>
      </c>
      <c r="BB155" s="6"/>
      <c r="BC155" s="6"/>
      <c r="BD155" s="6"/>
      <c r="BE155" s="6"/>
      <c r="BF155" s="6"/>
      <c r="BG155" s="6"/>
      <c r="BH155" s="6"/>
      <c r="BI155" s="6"/>
      <c r="BJ155" s="6"/>
      <c r="BK155" s="6"/>
    </row>
    <row r="156" spans="1:63" s="19" customFormat="1" ht="23.25" x14ac:dyDescent="0.25">
      <c r="A156" s="39" t="s">
        <v>171</v>
      </c>
      <c r="B156" s="40" t="s">
        <v>172</v>
      </c>
      <c r="C156" s="103" t="s">
        <v>173</v>
      </c>
      <c r="D156" s="103"/>
      <c r="E156" s="103"/>
      <c r="F156" s="103"/>
      <c r="G156" s="103"/>
      <c r="H156" s="41" t="s">
        <v>170</v>
      </c>
      <c r="I156" s="42">
        <v>0.28000000000000003</v>
      </c>
      <c r="J156" s="43">
        <v>1</v>
      </c>
      <c r="K156" s="62">
        <v>0.28000000000000003</v>
      </c>
      <c r="L156" s="45"/>
      <c r="M156" s="42"/>
      <c r="N156" s="45"/>
      <c r="O156" s="42"/>
      <c r="P156" s="50"/>
      <c r="Q156"/>
      <c r="R156"/>
      <c r="S156"/>
      <c r="T156"/>
      <c r="U156" s="46"/>
      <c r="V156"/>
      <c r="W156" s="42"/>
      <c r="X156"/>
      <c r="Y156"/>
      <c r="Z156"/>
      <c r="AA15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38"/>
      <c r="AW156" s="38"/>
      <c r="AX156" s="38" t="s">
        <v>173</v>
      </c>
      <c r="AY156" s="38"/>
      <c r="AZ156" s="6"/>
      <c r="BA156" s="38"/>
      <c r="BB156" s="6"/>
      <c r="BC156" s="6"/>
      <c r="BD156" s="6"/>
      <c r="BE156" s="6"/>
      <c r="BF156" s="6"/>
      <c r="BG156" s="6"/>
      <c r="BH156" s="6"/>
      <c r="BI156" s="6"/>
      <c r="BJ156" s="6"/>
      <c r="BK156" s="6"/>
    </row>
    <row r="157" spans="1:63" s="19" customFormat="1" ht="15" x14ac:dyDescent="0.25">
      <c r="A157" s="47"/>
      <c r="B157" s="48"/>
      <c r="C157" s="102" t="s">
        <v>56</v>
      </c>
      <c r="D157" s="102"/>
      <c r="E157" s="102"/>
      <c r="F157" s="102"/>
      <c r="G157" s="102"/>
      <c r="H157" s="41"/>
      <c r="I157" s="42"/>
      <c r="J157" s="42"/>
      <c r="K157" s="42"/>
      <c r="L157" s="45"/>
      <c r="M157" s="42"/>
      <c r="N157" s="49"/>
      <c r="O157" s="42"/>
      <c r="P157" s="50">
        <v>2188.0360000000001</v>
      </c>
      <c r="Q157" s="51"/>
      <c r="R157" s="51"/>
      <c r="S157"/>
      <c r="T157">
        <f>T290</f>
        <v>0</v>
      </c>
      <c r="U157" s="50">
        <v>1902.64</v>
      </c>
      <c r="V157"/>
      <c r="W157" s="62">
        <v>0.28000000000000003</v>
      </c>
      <c r="X157"/>
      <c r="Y157"/>
      <c r="Z157"/>
      <c r="AA157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38"/>
      <c r="AW157" s="38"/>
      <c r="AX157" s="38"/>
      <c r="AY157" s="38" t="s">
        <v>56</v>
      </c>
      <c r="AZ157" s="6"/>
      <c r="BA157" s="38"/>
      <c r="BB157" s="6"/>
      <c r="BC157" s="6"/>
      <c r="BD157" s="6"/>
      <c r="BE157" s="6"/>
      <c r="BF157" s="6"/>
      <c r="BG157" s="6"/>
      <c r="BH157" s="6"/>
      <c r="BI157" s="6"/>
      <c r="BJ157" s="6"/>
      <c r="BK157" s="6"/>
    </row>
    <row r="158" spans="1:63" s="19" customFormat="1" ht="15" x14ac:dyDescent="0.25">
      <c r="A158" s="52"/>
      <c r="B158" s="53"/>
      <c r="C158" s="104" t="s">
        <v>57</v>
      </c>
      <c r="D158" s="104"/>
      <c r="E158" s="104"/>
      <c r="F158" s="104"/>
      <c r="G158" s="104"/>
      <c r="H158" s="54"/>
      <c r="I158" s="55"/>
      <c r="J158" s="55"/>
      <c r="K158" s="55"/>
      <c r="L158" s="56"/>
      <c r="M158" s="55"/>
      <c r="N158" s="56"/>
      <c r="O158" s="55"/>
      <c r="P158" s="77">
        <v>1948.4794999999997</v>
      </c>
      <c r="Q158"/>
      <c r="R158"/>
      <c r="S158"/>
      <c r="T158">
        <f>T290</f>
        <v>0</v>
      </c>
      <c r="U158" s="57">
        <v>1694.33</v>
      </c>
      <c r="V158"/>
      <c r="W158" s="42"/>
      <c r="X158"/>
      <c r="Y158"/>
      <c r="Z158"/>
      <c r="AA158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38"/>
      <c r="AW158" s="38"/>
      <c r="AX158" s="38"/>
      <c r="AY158" s="38"/>
      <c r="AZ158" s="6" t="s">
        <v>57</v>
      </c>
      <c r="BA158" s="38"/>
      <c r="BB158" s="6"/>
      <c r="BC158" s="6"/>
      <c r="BD158" s="6"/>
      <c r="BE158" s="6"/>
      <c r="BF158" s="6"/>
      <c r="BG158" s="6"/>
      <c r="BH158" s="6"/>
      <c r="BI158" s="6"/>
      <c r="BJ158" s="6"/>
      <c r="BK158" s="6"/>
    </row>
    <row r="159" spans="1:63" s="19" customFormat="1" ht="15" x14ac:dyDescent="0.25">
      <c r="A159" s="52"/>
      <c r="B159" s="53" t="s">
        <v>174</v>
      </c>
      <c r="C159" s="104" t="s">
        <v>175</v>
      </c>
      <c r="D159" s="104"/>
      <c r="E159" s="104"/>
      <c r="F159" s="104"/>
      <c r="G159" s="104"/>
      <c r="H159" s="54" t="s">
        <v>60</v>
      </c>
      <c r="I159" s="58">
        <v>110</v>
      </c>
      <c r="J159" s="55"/>
      <c r="K159" s="58">
        <v>110</v>
      </c>
      <c r="L159" s="56"/>
      <c r="M159" s="55"/>
      <c r="N159" s="56"/>
      <c r="O159" s="55"/>
      <c r="P159" s="77">
        <v>2143.3239999999996</v>
      </c>
      <c r="Q159"/>
      <c r="R159"/>
      <c r="S159"/>
      <c r="T159">
        <f>T290</f>
        <v>0</v>
      </c>
      <c r="U159" s="57">
        <v>1863.76</v>
      </c>
      <c r="V159"/>
      <c r="W159" s="55"/>
      <c r="X159"/>
      <c r="Y159"/>
      <c r="Z159"/>
      <c r="AA159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38"/>
      <c r="AW159" s="38"/>
      <c r="AX159" s="38"/>
      <c r="AY159" s="38"/>
      <c r="AZ159" s="6" t="s">
        <v>175</v>
      </c>
      <c r="BA159" s="38"/>
      <c r="BB159" s="6"/>
      <c r="BC159" s="6"/>
      <c r="BD159" s="6"/>
      <c r="BE159" s="6"/>
      <c r="BF159" s="6"/>
      <c r="BG159" s="6"/>
      <c r="BH159" s="6"/>
      <c r="BI159" s="6"/>
      <c r="BJ159" s="6"/>
      <c r="BK159" s="6"/>
    </row>
    <row r="160" spans="1:63" s="19" customFormat="1" ht="15" x14ac:dyDescent="0.25">
      <c r="A160" s="52"/>
      <c r="B160" s="53" t="s">
        <v>176</v>
      </c>
      <c r="C160" s="104" t="s">
        <v>177</v>
      </c>
      <c r="D160" s="104"/>
      <c r="E160" s="104"/>
      <c r="F160" s="104"/>
      <c r="G160" s="104"/>
      <c r="H160" s="54" t="s">
        <v>60</v>
      </c>
      <c r="I160" s="58">
        <v>69</v>
      </c>
      <c r="J160" s="55"/>
      <c r="K160" s="58">
        <v>69</v>
      </c>
      <c r="L160" s="56"/>
      <c r="M160" s="55"/>
      <c r="N160" s="56"/>
      <c r="O160" s="55"/>
      <c r="P160" s="77">
        <v>1344.4534999999998</v>
      </c>
      <c r="Q160"/>
      <c r="R160"/>
      <c r="S160"/>
      <c r="T160">
        <f>T290</f>
        <v>0</v>
      </c>
      <c r="U160" s="57">
        <v>1169.0899999999999</v>
      </c>
      <c r="V160"/>
      <c r="W160" s="58">
        <v>110</v>
      </c>
      <c r="X160"/>
      <c r="Y160"/>
      <c r="Z160"/>
      <c r="AA160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38"/>
      <c r="AW160" s="38"/>
      <c r="AX160" s="38"/>
      <c r="AY160" s="38"/>
      <c r="AZ160" s="6" t="s">
        <v>177</v>
      </c>
      <c r="BA160" s="38"/>
      <c r="BB160" s="6"/>
      <c r="BC160" s="6"/>
      <c r="BD160" s="6"/>
      <c r="BE160" s="6"/>
      <c r="BF160" s="6"/>
      <c r="BG160" s="6"/>
      <c r="BH160" s="6"/>
      <c r="BI160" s="6"/>
      <c r="BJ160" s="6"/>
      <c r="BK160" s="6"/>
    </row>
    <row r="161" spans="1:63" s="19" customFormat="1" ht="15" x14ac:dyDescent="0.25">
      <c r="A161" s="59"/>
      <c r="B161" s="60"/>
      <c r="C161" s="102" t="s">
        <v>63</v>
      </c>
      <c r="D161" s="102"/>
      <c r="E161" s="102"/>
      <c r="F161" s="102"/>
      <c r="G161" s="102"/>
      <c r="H161" s="41"/>
      <c r="I161" s="42"/>
      <c r="J161" s="42"/>
      <c r="K161" s="42"/>
      <c r="L161" s="45"/>
      <c r="M161" s="42"/>
      <c r="N161" s="49">
        <v>5036.21</v>
      </c>
      <c r="O161" s="42"/>
      <c r="P161" s="50">
        <v>5675.8134999999993</v>
      </c>
      <c r="Q161"/>
      <c r="R161"/>
      <c r="S161"/>
      <c r="T161">
        <f>T290</f>
        <v>0</v>
      </c>
      <c r="U161" s="50">
        <f>4935.49*(K156/W157)</f>
        <v>4935.49</v>
      </c>
      <c r="V161"/>
      <c r="W161" s="58">
        <v>69</v>
      </c>
      <c r="X161"/>
      <c r="Y161"/>
      <c r="Z161"/>
      <c r="AA161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38"/>
      <c r="AW161" s="38"/>
      <c r="AX161" s="38"/>
      <c r="AY161" s="38"/>
      <c r="AZ161" s="6"/>
      <c r="BA161" s="38" t="s">
        <v>63</v>
      </c>
      <c r="BB161" s="6"/>
      <c r="BC161" s="6"/>
      <c r="BD161" s="6"/>
      <c r="BE161" s="6"/>
      <c r="BF161" s="6"/>
      <c r="BG161" s="6"/>
      <c r="BH161" s="6"/>
      <c r="BI161" s="6"/>
      <c r="BJ161" s="6"/>
      <c r="BK161" s="6"/>
    </row>
    <row r="162" spans="1:63" s="19" customFormat="1" ht="23.25" x14ac:dyDescent="0.25">
      <c r="A162" s="39" t="s">
        <v>178</v>
      </c>
      <c r="B162" s="40" t="s">
        <v>179</v>
      </c>
      <c r="C162" s="103" t="s">
        <v>180</v>
      </c>
      <c r="D162" s="103"/>
      <c r="E162" s="103"/>
      <c r="F162" s="103"/>
      <c r="G162" s="103"/>
      <c r="H162" s="41" t="s">
        <v>170</v>
      </c>
      <c r="I162" s="42">
        <v>0.2898</v>
      </c>
      <c r="J162" s="43">
        <v>1</v>
      </c>
      <c r="K162" s="44">
        <v>0.2898</v>
      </c>
      <c r="L162" s="49">
        <v>5719.62</v>
      </c>
      <c r="M162" s="62">
        <v>1.25</v>
      </c>
      <c r="N162" s="49">
        <v>7149.53</v>
      </c>
      <c r="O162" s="42"/>
      <c r="P162" s="50">
        <v>8138.09</v>
      </c>
      <c r="Q162"/>
      <c r="R162"/>
      <c r="S162"/>
      <c r="T162">
        <f>T290</f>
        <v>0</v>
      </c>
      <c r="U162" s="50">
        <f>U163</f>
        <v>7076.6</v>
      </c>
      <c r="V162"/>
      <c r="W162" s="42"/>
      <c r="X162"/>
      <c r="Y162"/>
      <c r="Z162"/>
      <c r="AA162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38"/>
      <c r="AW162" s="38"/>
      <c r="AX162" s="38" t="s">
        <v>180</v>
      </c>
      <c r="AY162" s="38"/>
      <c r="AZ162" s="6"/>
      <c r="BA162" s="38"/>
      <c r="BB162" s="6"/>
      <c r="BC162" s="6"/>
      <c r="BD162" s="6"/>
      <c r="BE162" s="6"/>
      <c r="BF162" s="6"/>
      <c r="BG162" s="6"/>
      <c r="BH162" s="6"/>
      <c r="BI162" s="6"/>
      <c r="BJ162" s="6"/>
      <c r="BK162" s="6"/>
    </row>
    <row r="163" spans="1:63" s="19" customFormat="1" ht="15" x14ac:dyDescent="0.25">
      <c r="A163" s="59"/>
      <c r="B163" s="60"/>
      <c r="C163" s="102" t="s">
        <v>63</v>
      </c>
      <c r="D163" s="102"/>
      <c r="E163" s="102"/>
      <c r="F163" s="102"/>
      <c r="G163" s="102"/>
      <c r="H163" s="41"/>
      <c r="I163" s="42"/>
      <c r="J163" s="42"/>
      <c r="K163" s="42"/>
      <c r="L163" s="45"/>
      <c r="M163" s="42"/>
      <c r="N163" s="45"/>
      <c r="O163" s="42"/>
      <c r="P163" s="50">
        <v>8138.09</v>
      </c>
      <c r="Q163"/>
      <c r="R163"/>
      <c r="S163"/>
      <c r="T163">
        <f>T290</f>
        <v>0</v>
      </c>
      <c r="U163" s="50">
        <f>7076.6*(K162/W163)</f>
        <v>7076.6</v>
      </c>
      <c r="V163"/>
      <c r="W163" s="44">
        <v>0.2898</v>
      </c>
      <c r="X163"/>
      <c r="Y163"/>
      <c r="Z163"/>
      <c r="AA163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38"/>
      <c r="AW163" s="38"/>
      <c r="AX163" s="38"/>
      <c r="AY163" s="38"/>
      <c r="AZ163" s="6"/>
      <c r="BA163" s="38" t="s">
        <v>63</v>
      </c>
      <c r="BB163" s="6"/>
      <c r="BC163" s="6"/>
      <c r="BD163" s="6"/>
      <c r="BE163" s="6"/>
      <c r="BF163" s="6"/>
      <c r="BG163" s="6"/>
      <c r="BH163" s="6"/>
      <c r="BI163" s="6"/>
      <c r="BJ163" s="6"/>
      <c r="BK163" s="6"/>
    </row>
    <row r="164" spans="1:63" s="19" customFormat="1" ht="23.25" x14ac:dyDescent="0.25">
      <c r="A164" s="39" t="s">
        <v>181</v>
      </c>
      <c r="B164" s="40" t="s">
        <v>182</v>
      </c>
      <c r="C164" s="103" t="s">
        <v>183</v>
      </c>
      <c r="D164" s="103"/>
      <c r="E164" s="103"/>
      <c r="F164" s="103"/>
      <c r="G164" s="103"/>
      <c r="H164" s="41" t="s">
        <v>71</v>
      </c>
      <c r="I164" s="42">
        <v>2.7900600000000001E-2</v>
      </c>
      <c r="J164" s="43">
        <v>1</v>
      </c>
      <c r="K164" s="64">
        <v>2.7900600000000001E-2</v>
      </c>
      <c r="L164" s="49">
        <v>39438.35</v>
      </c>
      <c r="M164" s="62">
        <v>1.37</v>
      </c>
      <c r="N164" s="49">
        <v>54030.54</v>
      </c>
      <c r="O164" s="42"/>
      <c r="P164" s="50">
        <v>1733.6019999999999</v>
      </c>
      <c r="Q164"/>
      <c r="R164"/>
      <c r="S164"/>
      <c r="T164">
        <f>T290</f>
        <v>0</v>
      </c>
      <c r="U164" s="50">
        <f>U165</f>
        <v>1507.48</v>
      </c>
      <c r="V164"/>
      <c r="W164" s="42"/>
      <c r="X164"/>
      <c r="Y164"/>
      <c r="Z164"/>
      <c r="AA164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38"/>
      <c r="AW164" s="38"/>
      <c r="AX164" s="38" t="s">
        <v>183</v>
      </c>
      <c r="AY164" s="38"/>
      <c r="AZ164" s="6"/>
      <c r="BA164" s="38"/>
      <c r="BB164" s="6"/>
      <c r="BC164" s="6"/>
      <c r="BD164" s="6"/>
      <c r="BE164" s="6"/>
      <c r="BF164" s="6"/>
      <c r="BG164" s="6"/>
      <c r="BH164" s="6"/>
      <c r="BI164" s="6"/>
      <c r="BJ164" s="6"/>
      <c r="BK164" s="6"/>
    </row>
    <row r="165" spans="1:63" s="19" customFormat="1" ht="15" x14ac:dyDescent="0.25">
      <c r="A165" s="59"/>
      <c r="B165" s="60"/>
      <c r="C165" s="102" t="s">
        <v>63</v>
      </c>
      <c r="D165" s="102"/>
      <c r="E165" s="102"/>
      <c r="F165" s="102"/>
      <c r="G165" s="102"/>
      <c r="H165" s="41"/>
      <c r="I165" s="42"/>
      <c r="J165" s="42"/>
      <c r="K165" s="42"/>
      <c r="L165" s="45"/>
      <c r="M165" s="42"/>
      <c r="N165" s="45"/>
      <c r="O165" s="42"/>
      <c r="P165" s="50">
        <v>1733.6019999999999</v>
      </c>
      <c r="Q165"/>
      <c r="R165"/>
      <c r="S165"/>
      <c r="T165">
        <f>T290</f>
        <v>0</v>
      </c>
      <c r="U165" s="50">
        <f>1507.48*(K164/W165)</f>
        <v>1507.48</v>
      </c>
      <c r="V165"/>
      <c r="W165" s="64">
        <v>2.7900600000000001E-2</v>
      </c>
      <c r="X165"/>
      <c r="Y165"/>
      <c r="Z165"/>
      <c r="AA165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38"/>
      <c r="AW165" s="38"/>
      <c r="AX165" s="38"/>
      <c r="AY165" s="38"/>
      <c r="AZ165" s="6"/>
      <c r="BA165" s="38" t="s">
        <v>63</v>
      </c>
      <c r="BB165" s="6"/>
      <c r="BC165" s="6"/>
      <c r="BD165" s="6"/>
      <c r="BE165" s="6"/>
      <c r="BF165" s="6"/>
      <c r="BG165" s="6"/>
      <c r="BH165" s="6"/>
      <c r="BI165" s="6"/>
      <c r="BJ165" s="6"/>
      <c r="BK165" s="6"/>
    </row>
    <row r="166" spans="1:63" s="19" customFormat="1" ht="15" x14ac:dyDescent="0.25">
      <c r="A166" s="39" t="s">
        <v>184</v>
      </c>
      <c r="B166" s="40" t="s">
        <v>185</v>
      </c>
      <c r="C166" s="103" t="s">
        <v>186</v>
      </c>
      <c r="D166" s="103"/>
      <c r="E166" s="103"/>
      <c r="F166" s="103"/>
      <c r="G166" s="103"/>
      <c r="H166" s="41" t="s">
        <v>55</v>
      </c>
      <c r="I166" s="42">
        <v>0.14899999999999999</v>
      </c>
      <c r="J166" s="43">
        <v>1</v>
      </c>
      <c r="K166" s="44">
        <v>0.14899999999999999</v>
      </c>
      <c r="L166" s="45"/>
      <c r="M166" s="42"/>
      <c r="N166" s="45"/>
      <c r="O166" s="42"/>
      <c r="P166" s="50"/>
      <c r="Q166"/>
      <c r="R166"/>
      <c r="S166"/>
      <c r="T166"/>
      <c r="U166" s="46"/>
      <c r="V166"/>
      <c r="W166" s="42"/>
      <c r="X166"/>
      <c r="Y166"/>
      <c r="Z166"/>
      <c r="AA16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38"/>
      <c r="AW166" s="38"/>
      <c r="AX166" s="38" t="s">
        <v>186</v>
      </c>
      <c r="AY166" s="38"/>
      <c r="AZ166" s="6"/>
      <c r="BA166" s="38"/>
      <c r="BB166" s="6"/>
      <c r="BC166" s="6"/>
      <c r="BD166" s="6"/>
      <c r="BE166" s="6"/>
      <c r="BF166" s="6"/>
      <c r="BG166" s="6"/>
      <c r="BH166" s="6"/>
      <c r="BI166" s="6"/>
      <c r="BJ166" s="6"/>
      <c r="BK166" s="6"/>
    </row>
    <row r="167" spans="1:63" s="19" customFormat="1" ht="15" x14ac:dyDescent="0.25">
      <c r="A167" s="47"/>
      <c r="B167" s="48"/>
      <c r="C167" s="102" t="s">
        <v>56</v>
      </c>
      <c r="D167" s="102"/>
      <c r="E167" s="102"/>
      <c r="F167" s="102"/>
      <c r="G167" s="102"/>
      <c r="H167" s="41"/>
      <c r="I167" s="42"/>
      <c r="J167" s="42"/>
      <c r="K167" s="42"/>
      <c r="L167" s="45"/>
      <c r="M167" s="42"/>
      <c r="N167" s="49"/>
      <c r="O167" s="42"/>
      <c r="P167" s="50">
        <v>1740.1569999999999</v>
      </c>
      <c r="Q167" s="51"/>
      <c r="R167" s="51"/>
      <c r="S167"/>
      <c r="T167">
        <f>T290</f>
        <v>0</v>
      </c>
      <c r="U167" s="50">
        <v>1513.18</v>
      </c>
      <c r="V167"/>
      <c r="W167" s="44">
        <v>0.182</v>
      </c>
      <c r="X167"/>
      <c r="Y167"/>
      <c r="Z167"/>
      <c r="AA167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38"/>
      <c r="AW167" s="38"/>
      <c r="AX167" s="38"/>
      <c r="AY167" s="38" t="s">
        <v>56</v>
      </c>
      <c r="AZ167" s="6"/>
      <c r="BA167" s="38"/>
      <c r="BB167" s="6"/>
      <c r="BC167" s="6"/>
      <c r="BD167" s="6"/>
      <c r="BE167" s="6"/>
      <c r="BF167" s="6"/>
      <c r="BG167" s="6"/>
      <c r="BH167" s="6"/>
      <c r="BI167" s="6"/>
      <c r="BJ167" s="6"/>
      <c r="BK167" s="6"/>
    </row>
    <row r="168" spans="1:63" s="19" customFormat="1" ht="15" x14ac:dyDescent="0.25">
      <c r="A168" s="52"/>
      <c r="B168" s="53"/>
      <c r="C168" s="104" t="s">
        <v>57</v>
      </c>
      <c r="D168" s="104"/>
      <c r="E168" s="104"/>
      <c r="F168" s="104"/>
      <c r="G168" s="104"/>
      <c r="H168" s="54"/>
      <c r="I168" s="55"/>
      <c r="J168" s="55"/>
      <c r="K168" s="55"/>
      <c r="L168" s="56"/>
      <c r="M168" s="55"/>
      <c r="N168" s="56"/>
      <c r="O168" s="55"/>
      <c r="P168" s="77">
        <v>1709.4749999999999</v>
      </c>
      <c r="Q168"/>
      <c r="R168"/>
      <c r="S168"/>
      <c r="T168">
        <f>T290</f>
        <v>0</v>
      </c>
      <c r="U168" s="57">
        <v>1486.5</v>
      </c>
      <c r="V168"/>
      <c r="W168" s="42"/>
      <c r="X168"/>
      <c r="Y168"/>
      <c r="Z168"/>
      <c r="AA168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38"/>
      <c r="AW168" s="38"/>
      <c r="AX168" s="38"/>
      <c r="AY168" s="38"/>
      <c r="AZ168" s="6" t="s">
        <v>57</v>
      </c>
      <c r="BA168" s="38"/>
      <c r="BB168" s="6"/>
      <c r="BC168" s="6"/>
      <c r="BD168" s="6"/>
      <c r="BE168" s="6"/>
      <c r="BF168" s="6"/>
      <c r="BG168" s="6"/>
      <c r="BH168" s="6"/>
      <c r="BI168" s="6"/>
      <c r="BJ168" s="6"/>
      <c r="BK168" s="6"/>
    </row>
    <row r="169" spans="1:63" s="19" customFormat="1" ht="15" x14ac:dyDescent="0.25">
      <c r="A169" s="52"/>
      <c r="B169" s="53" t="s">
        <v>187</v>
      </c>
      <c r="C169" s="104" t="s">
        <v>188</v>
      </c>
      <c r="D169" s="104"/>
      <c r="E169" s="104"/>
      <c r="F169" s="104"/>
      <c r="G169" s="104"/>
      <c r="H169" s="54" t="s">
        <v>60</v>
      </c>
      <c r="I169" s="58">
        <v>112</v>
      </c>
      <c r="J169" s="55"/>
      <c r="K169" s="58">
        <v>112</v>
      </c>
      <c r="L169" s="56"/>
      <c r="M169" s="55"/>
      <c r="N169" s="56"/>
      <c r="O169" s="55"/>
      <c r="P169" s="77">
        <v>1914.6120000000001</v>
      </c>
      <c r="Q169"/>
      <c r="R169"/>
      <c r="S169"/>
      <c r="T169">
        <f>T290</f>
        <v>0</v>
      </c>
      <c r="U169" s="57">
        <v>1664.88</v>
      </c>
      <c r="V169"/>
      <c r="W169" s="55"/>
      <c r="X169"/>
      <c r="Y169"/>
      <c r="Z169"/>
      <c r="AA169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38"/>
      <c r="AW169" s="38"/>
      <c r="AX169" s="38"/>
      <c r="AY169" s="38"/>
      <c r="AZ169" s="6" t="s">
        <v>188</v>
      </c>
      <c r="BA169" s="38"/>
      <c r="BB169" s="6"/>
      <c r="BC169" s="6"/>
      <c r="BD169" s="6"/>
      <c r="BE169" s="6"/>
      <c r="BF169" s="6"/>
      <c r="BG169" s="6"/>
      <c r="BH169" s="6"/>
      <c r="BI169" s="6"/>
      <c r="BJ169" s="6"/>
      <c r="BK169" s="6"/>
    </row>
    <row r="170" spans="1:63" s="19" customFormat="1" ht="15" x14ac:dyDescent="0.25">
      <c r="A170" s="52"/>
      <c r="B170" s="53" t="s">
        <v>189</v>
      </c>
      <c r="C170" s="104" t="s">
        <v>190</v>
      </c>
      <c r="D170" s="104"/>
      <c r="E170" s="104"/>
      <c r="F170" s="104"/>
      <c r="G170" s="104"/>
      <c r="H170" s="54" t="s">
        <v>60</v>
      </c>
      <c r="I170" s="58">
        <v>65</v>
      </c>
      <c r="J170" s="55"/>
      <c r="K170" s="58">
        <v>65</v>
      </c>
      <c r="L170" s="56"/>
      <c r="M170" s="55"/>
      <c r="N170" s="56"/>
      <c r="O170" s="55"/>
      <c r="P170" s="77">
        <v>1111.1644999999999</v>
      </c>
      <c r="Q170"/>
      <c r="R170"/>
      <c r="S170"/>
      <c r="T170">
        <f>T290</f>
        <v>0</v>
      </c>
      <c r="U170" s="65">
        <v>966.23</v>
      </c>
      <c r="V170"/>
      <c r="W170" s="58">
        <v>112</v>
      </c>
      <c r="X170"/>
      <c r="Y170"/>
      <c r="Z170"/>
      <c r="AA170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38"/>
      <c r="AW170" s="38"/>
      <c r="AX170" s="38"/>
      <c r="AY170" s="38"/>
      <c r="AZ170" s="6" t="s">
        <v>190</v>
      </c>
      <c r="BA170" s="38"/>
      <c r="BB170" s="6"/>
      <c r="BC170" s="6"/>
      <c r="BD170" s="6"/>
      <c r="BE170" s="6"/>
      <c r="BF170" s="6"/>
      <c r="BG170" s="6"/>
      <c r="BH170" s="6"/>
      <c r="BI170" s="6"/>
      <c r="BJ170" s="6"/>
      <c r="BK170" s="6"/>
    </row>
    <row r="171" spans="1:63" s="19" customFormat="1" ht="15" x14ac:dyDescent="0.25">
      <c r="A171" s="59"/>
      <c r="B171" s="60"/>
      <c r="C171" s="102" t="s">
        <v>63</v>
      </c>
      <c r="D171" s="102"/>
      <c r="E171" s="102"/>
      <c r="F171" s="102"/>
      <c r="G171" s="102"/>
      <c r="H171" s="41"/>
      <c r="I171" s="42"/>
      <c r="J171" s="42"/>
      <c r="K171" s="42"/>
      <c r="L171" s="45"/>
      <c r="M171" s="42"/>
      <c r="N171" s="49">
        <v>35330.69</v>
      </c>
      <c r="O171" s="42"/>
      <c r="P171" s="50">
        <v>4765.9334999999992</v>
      </c>
      <c r="Q171"/>
      <c r="R171"/>
      <c r="S171"/>
      <c r="T171">
        <f>T290</f>
        <v>0</v>
      </c>
      <c r="U171" s="50">
        <f>4144.29*(K166/W167)</f>
        <v>3392.8528021978022</v>
      </c>
      <c r="V171"/>
      <c r="W171" s="58">
        <v>65</v>
      </c>
      <c r="X171"/>
      <c r="Y171"/>
      <c r="Z171"/>
      <c r="AA171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38"/>
      <c r="AW171" s="38"/>
      <c r="AX171" s="38"/>
      <c r="AY171" s="38"/>
      <c r="AZ171" s="6"/>
      <c r="BA171" s="38" t="s">
        <v>63</v>
      </c>
      <c r="BB171" s="6"/>
      <c r="BC171" s="6"/>
      <c r="BD171" s="6"/>
      <c r="BE171" s="6"/>
      <c r="BF171" s="6"/>
      <c r="BG171" s="6"/>
      <c r="BH171" s="6"/>
      <c r="BI171" s="6"/>
      <c r="BJ171" s="6"/>
      <c r="BK171" s="6"/>
    </row>
    <row r="172" spans="1:63" s="19" customFormat="1" ht="15" x14ac:dyDescent="0.25">
      <c r="A172" s="39" t="s">
        <v>191</v>
      </c>
      <c r="B172" s="40" t="s">
        <v>192</v>
      </c>
      <c r="C172" s="103" t="s">
        <v>193</v>
      </c>
      <c r="D172" s="103"/>
      <c r="E172" s="103"/>
      <c r="F172" s="103"/>
      <c r="G172" s="103"/>
      <c r="H172" s="41" t="s">
        <v>170</v>
      </c>
      <c r="I172" s="42">
        <v>0.239292</v>
      </c>
      <c r="J172" s="43">
        <v>1</v>
      </c>
      <c r="K172" s="68">
        <v>0.239292</v>
      </c>
      <c r="L172" s="45"/>
      <c r="M172" s="42"/>
      <c r="N172" s="49">
        <v>6212.75</v>
      </c>
      <c r="O172" s="42"/>
      <c r="P172" s="50">
        <v>1709.6589999999999</v>
      </c>
      <c r="Q172"/>
      <c r="R172"/>
      <c r="S172"/>
      <c r="T172">
        <f>T290</f>
        <v>0</v>
      </c>
      <c r="U172" s="50">
        <f>U173</f>
        <v>1486.66</v>
      </c>
      <c r="V172"/>
      <c r="W172" s="42"/>
      <c r="X172"/>
      <c r="Y172"/>
      <c r="Z172"/>
      <c r="AA172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38"/>
      <c r="AW172" s="38"/>
      <c r="AX172" s="38" t="s">
        <v>193</v>
      </c>
      <c r="AY172" s="38"/>
      <c r="AZ172" s="6"/>
      <c r="BA172" s="38"/>
      <c r="BB172" s="6"/>
      <c r="BC172" s="6"/>
      <c r="BD172" s="6"/>
      <c r="BE172" s="6"/>
      <c r="BF172" s="6"/>
      <c r="BG172" s="6"/>
      <c r="BH172" s="6"/>
      <c r="BI172" s="6"/>
      <c r="BJ172" s="6"/>
      <c r="BK172" s="6"/>
    </row>
    <row r="173" spans="1:63" s="19" customFormat="1" ht="15" x14ac:dyDescent="0.25">
      <c r="A173" s="59"/>
      <c r="B173" s="60"/>
      <c r="C173" s="102" t="s">
        <v>63</v>
      </c>
      <c r="D173" s="102"/>
      <c r="E173" s="102"/>
      <c r="F173" s="102"/>
      <c r="G173" s="102"/>
      <c r="H173" s="41"/>
      <c r="I173" s="42"/>
      <c r="J173" s="42"/>
      <c r="K173" s="42"/>
      <c r="L173" s="45"/>
      <c r="M173" s="42"/>
      <c r="N173" s="45"/>
      <c r="O173" s="42"/>
      <c r="P173" s="50">
        <v>1709.6589999999999</v>
      </c>
      <c r="Q173"/>
      <c r="R173"/>
      <c r="S173"/>
      <c r="T173">
        <f>T290</f>
        <v>0</v>
      </c>
      <c r="U173" s="50">
        <f>1486.66*(K172/W173)</f>
        <v>1486.66</v>
      </c>
      <c r="V173"/>
      <c r="W173" s="68">
        <v>0.239292</v>
      </c>
      <c r="X173"/>
      <c r="Y173"/>
      <c r="Z173"/>
      <c r="AA173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38"/>
      <c r="AW173" s="38"/>
      <c r="AX173" s="38"/>
      <c r="AY173" s="38"/>
      <c r="AZ173" s="6"/>
      <c r="BA173" s="38" t="s">
        <v>63</v>
      </c>
      <c r="BB173" s="6"/>
      <c r="BC173" s="6"/>
      <c r="BD173" s="6"/>
      <c r="BE173" s="6"/>
      <c r="BF173" s="6"/>
      <c r="BG173" s="6"/>
      <c r="BH173" s="6"/>
      <c r="BI173" s="6"/>
      <c r="BJ173" s="6"/>
      <c r="BK173" s="6"/>
    </row>
    <row r="174" spans="1:63" s="19" customFormat="1" ht="34.5" x14ac:dyDescent="0.25">
      <c r="A174" s="39" t="s">
        <v>194</v>
      </c>
      <c r="B174" s="40" t="s">
        <v>195</v>
      </c>
      <c r="C174" s="103" t="s">
        <v>196</v>
      </c>
      <c r="D174" s="103"/>
      <c r="E174" s="103"/>
      <c r="F174" s="103"/>
      <c r="G174" s="103"/>
      <c r="H174" s="41" t="s">
        <v>55</v>
      </c>
      <c r="I174" s="42">
        <v>0.182</v>
      </c>
      <c r="J174" s="43">
        <v>1</v>
      </c>
      <c r="K174" s="44">
        <v>0.182</v>
      </c>
      <c r="L174" s="45"/>
      <c r="M174" s="42"/>
      <c r="N174" s="45"/>
      <c r="O174" s="42"/>
      <c r="P174" s="50"/>
      <c r="Q174"/>
      <c r="R174"/>
      <c r="S174"/>
      <c r="T174"/>
      <c r="U174" s="46"/>
      <c r="V174"/>
      <c r="W174" s="42"/>
      <c r="X174"/>
      <c r="Y174"/>
      <c r="Z174"/>
      <c r="AA174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38"/>
      <c r="AW174" s="38"/>
      <c r="AX174" s="38" t="s">
        <v>196</v>
      </c>
      <c r="AY174" s="38"/>
      <c r="AZ174" s="6"/>
      <c r="BA174" s="38"/>
      <c r="BB174" s="6"/>
      <c r="BC174" s="6"/>
      <c r="BD174" s="6"/>
      <c r="BE174" s="6"/>
      <c r="BF174" s="6"/>
      <c r="BG174" s="6"/>
      <c r="BH174" s="6"/>
      <c r="BI174" s="6"/>
      <c r="BJ174" s="6"/>
      <c r="BK174" s="6"/>
    </row>
    <row r="175" spans="1:63" s="19" customFormat="1" ht="15" x14ac:dyDescent="0.25">
      <c r="A175" s="47"/>
      <c r="B175" s="48"/>
      <c r="C175" s="102" t="s">
        <v>56</v>
      </c>
      <c r="D175" s="102"/>
      <c r="E175" s="102"/>
      <c r="F175" s="102"/>
      <c r="G175" s="102"/>
      <c r="H175" s="41"/>
      <c r="I175" s="42"/>
      <c r="J175" s="42"/>
      <c r="K175" s="42"/>
      <c r="L175" s="45"/>
      <c r="M175" s="42"/>
      <c r="N175" s="49"/>
      <c r="O175" s="42"/>
      <c r="P175" s="90">
        <v>206.03399999999999</v>
      </c>
      <c r="Q175" s="51"/>
      <c r="R175" s="51"/>
      <c r="S175"/>
      <c r="T175">
        <f>T290</f>
        <v>0</v>
      </c>
      <c r="U175" s="50">
        <v>179.16</v>
      </c>
      <c r="V175"/>
      <c r="W175" s="44">
        <v>0.182</v>
      </c>
      <c r="X175"/>
      <c r="Y175"/>
      <c r="Z175"/>
      <c r="AA175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38"/>
      <c r="AW175" s="38"/>
      <c r="AX175" s="38"/>
      <c r="AY175" s="38" t="s">
        <v>56</v>
      </c>
      <c r="AZ175" s="6"/>
      <c r="BA175" s="38"/>
      <c r="BB175" s="6"/>
      <c r="BC175" s="6"/>
      <c r="BD175" s="6"/>
      <c r="BE175" s="6"/>
      <c r="BF175" s="6"/>
      <c r="BG175" s="6"/>
      <c r="BH175" s="6"/>
      <c r="BI175" s="6"/>
      <c r="BJ175" s="6"/>
      <c r="BK175" s="6"/>
    </row>
    <row r="176" spans="1:63" s="19" customFormat="1" ht="15" x14ac:dyDescent="0.25">
      <c r="A176" s="52"/>
      <c r="B176" s="53"/>
      <c r="C176" s="104" t="s">
        <v>57</v>
      </c>
      <c r="D176" s="104"/>
      <c r="E176" s="104"/>
      <c r="F176" s="104"/>
      <c r="G176" s="104"/>
      <c r="H176" s="54"/>
      <c r="I176" s="55"/>
      <c r="J176" s="55"/>
      <c r="K176" s="55"/>
      <c r="L176" s="56"/>
      <c r="M176" s="55"/>
      <c r="N176" s="56"/>
      <c r="O176" s="55"/>
      <c r="P176" s="77">
        <v>184.57499999999999</v>
      </c>
      <c r="Q176"/>
      <c r="R176"/>
      <c r="S176"/>
      <c r="T176">
        <f>T290</f>
        <v>0</v>
      </c>
      <c r="U176" s="65">
        <v>160.5</v>
      </c>
      <c r="V176"/>
      <c r="W176" s="42"/>
      <c r="X176"/>
      <c r="Y176"/>
      <c r="Z176"/>
      <c r="AA17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38"/>
      <c r="AW176" s="38"/>
      <c r="AX176" s="38"/>
      <c r="AY176" s="38"/>
      <c r="AZ176" s="6" t="s">
        <v>57</v>
      </c>
      <c r="BA176" s="38"/>
      <c r="BB176" s="6"/>
      <c r="BC176" s="6"/>
      <c r="BD176" s="6"/>
      <c r="BE176" s="6"/>
      <c r="BF176" s="6"/>
      <c r="BG176" s="6"/>
      <c r="BH176" s="6"/>
      <c r="BI176" s="6"/>
      <c r="BJ176" s="6"/>
      <c r="BK176" s="6"/>
    </row>
    <row r="177" spans="1:63" s="19" customFormat="1" ht="15" x14ac:dyDescent="0.25">
      <c r="A177" s="52"/>
      <c r="B177" s="53" t="s">
        <v>187</v>
      </c>
      <c r="C177" s="104" t="s">
        <v>188</v>
      </c>
      <c r="D177" s="104"/>
      <c r="E177" s="104"/>
      <c r="F177" s="104"/>
      <c r="G177" s="104"/>
      <c r="H177" s="54" t="s">
        <v>60</v>
      </c>
      <c r="I177" s="58">
        <v>112</v>
      </c>
      <c r="J177" s="55"/>
      <c r="K177" s="58">
        <v>112</v>
      </c>
      <c r="L177" s="56"/>
      <c r="M177" s="55"/>
      <c r="N177" s="56"/>
      <c r="O177" s="55"/>
      <c r="P177" s="77">
        <v>206.72399999999996</v>
      </c>
      <c r="Q177"/>
      <c r="R177"/>
      <c r="S177"/>
      <c r="T177">
        <f>T290</f>
        <v>0</v>
      </c>
      <c r="U177" s="65">
        <v>179.76</v>
      </c>
      <c r="V177"/>
      <c r="W177" s="55"/>
      <c r="X177"/>
      <c r="Y177"/>
      <c r="Z177"/>
      <c r="AA177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38"/>
      <c r="AW177" s="38"/>
      <c r="AX177" s="38"/>
      <c r="AY177" s="38"/>
      <c r="AZ177" s="6" t="s">
        <v>188</v>
      </c>
      <c r="BA177" s="38"/>
      <c r="BB177" s="6"/>
      <c r="BC177" s="6"/>
      <c r="BD177" s="6"/>
      <c r="BE177" s="6"/>
      <c r="BF177" s="6"/>
      <c r="BG177" s="6"/>
      <c r="BH177" s="6"/>
      <c r="BI177" s="6"/>
      <c r="BJ177" s="6"/>
      <c r="BK177" s="6"/>
    </row>
    <row r="178" spans="1:63" s="19" customFormat="1" ht="15" x14ac:dyDescent="0.25">
      <c r="A178" s="52"/>
      <c r="B178" s="53" t="s">
        <v>189</v>
      </c>
      <c r="C178" s="104" t="s">
        <v>190</v>
      </c>
      <c r="D178" s="104"/>
      <c r="E178" s="104"/>
      <c r="F178" s="104"/>
      <c r="G178" s="104"/>
      <c r="H178" s="54" t="s">
        <v>60</v>
      </c>
      <c r="I178" s="58">
        <v>65</v>
      </c>
      <c r="J178" s="55"/>
      <c r="K178" s="58">
        <v>65</v>
      </c>
      <c r="L178" s="56"/>
      <c r="M178" s="55"/>
      <c r="N178" s="56"/>
      <c r="O178" s="55"/>
      <c r="P178" s="77">
        <v>119.97949999999999</v>
      </c>
      <c r="Q178"/>
      <c r="R178"/>
      <c r="S178"/>
      <c r="T178">
        <f>T290</f>
        <v>0</v>
      </c>
      <c r="U178" s="65">
        <v>104.33</v>
      </c>
      <c r="V178"/>
      <c r="W178" s="58">
        <v>112</v>
      </c>
      <c r="X178"/>
      <c r="Y178"/>
      <c r="Z178"/>
      <c r="AA178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38"/>
      <c r="AW178" s="38"/>
      <c r="AX178" s="38"/>
      <c r="AY178" s="38"/>
      <c r="AZ178" s="6" t="s">
        <v>190</v>
      </c>
      <c r="BA178" s="38"/>
      <c r="BB178" s="6"/>
      <c r="BC178" s="6"/>
      <c r="BD178" s="6"/>
      <c r="BE178" s="6"/>
      <c r="BF178" s="6"/>
      <c r="BG178" s="6"/>
      <c r="BH178" s="6"/>
      <c r="BI178" s="6"/>
      <c r="BJ178" s="6"/>
      <c r="BK178" s="6"/>
    </row>
    <row r="179" spans="1:63" s="19" customFormat="1" ht="15" x14ac:dyDescent="0.25">
      <c r="A179" s="59"/>
      <c r="B179" s="60"/>
      <c r="C179" s="102" t="s">
        <v>63</v>
      </c>
      <c r="D179" s="102"/>
      <c r="E179" s="102"/>
      <c r="F179" s="102"/>
      <c r="G179" s="102"/>
      <c r="H179" s="41"/>
      <c r="I179" s="42"/>
      <c r="J179" s="42"/>
      <c r="K179" s="42"/>
      <c r="L179" s="45"/>
      <c r="M179" s="42"/>
      <c r="N179" s="49">
        <v>3949.28</v>
      </c>
      <c r="O179" s="42"/>
      <c r="P179" s="50">
        <v>532.73749999999995</v>
      </c>
      <c r="Q179"/>
      <c r="R179"/>
      <c r="S179"/>
      <c r="T179">
        <f>T290</f>
        <v>0</v>
      </c>
      <c r="U179" s="63">
        <f>463.25*(K174/W175)</f>
        <v>463.25</v>
      </c>
      <c r="V179"/>
      <c r="W179" s="58">
        <v>65</v>
      </c>
      <c r="X179"/>
      <c r="Y179"/>
      <c r="Z179"/>
      <c r="AA179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38"/>
      <c r="AW179" s="38"/>
      <c r="AX179" s="38"/>
      <c r="AY179" s="38"/>
      <c r="AZ179" s="6"/>
      <c r="BA179" s="38" t="s">
        <v>63</v>
      </c>
      <c r="BB179" s="6"/>
      <c r="BC179" s="6"/>
      <c r="BD179" s="6"/>
      <c r="BE179" s="6"/>
      <c r="BF179" s="6"/>
      <c r="BG179" s="6"/>
      <c r="BH179" s="6"/>
      <c r="BI179" s="6"/>
      <c r="BJ179" s="6"/>
      <c r="BK179" s="6"/>
    </row>
    <row r="180" spans="1:63" s="19" customFormat="1" ht="15" x14ac:dyDescent="0.25">
      <c r="A180" s="39" t="s">
        <v>197</v>
      </c>
      <c r="B180" s="40" t="s">
        <v>192</v>
      </c>
      <c r="C180" s="103" t="s">
        <v>193</v>
      </c>
      <c r="D180" s="103"/>
      <c r="E180" s="103"/>
      <c r="F180" s="103"/>
      <c r="G180" s="103"/>
      <c r="H180" s="41" t="s">
        <v>170</v>
      </c>
      <c r="I180" s="42">
        <v>0.35893799999999998</v>
      </c>
      <c r="J180" s="43">
        <v>1</v>
      </c>
      <c r="K180" s="68">
        <v>0.35893799999999998</v>
      </c>
      <c r="L180" s="45"/>
      <c r="M180" s="42"/>
      <c r="N180" s="49">
        <v>6212.75</v>
      </c>
      <c r="O180" s="42"/>
      <c r="P180" s="50">
        <v>2564.4884999999995</v>
      </c>
      <c r="Q180"/>
      <c r="R180"/>
      <c r="S180"/>
      <c r="T180">
        <f>T290</f>
        <v>0</v>
      </c>
      <c r="U180" s="50">
        <f>U181</f>
        <v>2229.9899999999998</v>
      </c>
      <c r="V180"/>
      <c r="W180" s="42"/>
      <c r="X180"/>
      <c r="Y180"/>
      <c r="Z180"/>
      <c r="AA180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38"/>
      <c r="AW180" s="38"/>
      <c r="AX180" s="38" t="s">
        <v>193</v>
      </c>
      <c r="AY180" s="38"/>
      <c r="AZ180" s="6"/>
      <c r="BA180" s="38"/>
      <c r="BB180" s="6"/>
      <c r="BC180" s="6"/>
      <c r="BD180" s="6"/>
      <c r="BE180" s="6"/>
      <c r="BF180" s="6"/>
      <c r="BG180" s="6"/>
      <c r="BH180" s="6"/>
      <c r="BI180" s="6"/>
      <c r="BJ180" s="6"/>
      <c r="BK180" s="6"/>
    </row>
    <row r="181" spans="1:63" s="19" customFormat="1" ht="15" x14ac:dyDescent="0.25">
      <c r="A181" s="59"/>
      <c r="B181" s="60"/>
      <c r="C181" s="102" t="s">
        <v>63</v>
      </c>
      <c r="D181" s="102"/>
      <c r="E181" s="102"/>
      <c r="F181" s="102"/>
      <c r="G181" s="102"/>
      <c r="H181" s="41"/>
      <c r="I181" s="42"/>
      <c r="J181" s="42"/>
      <c r="K181" s="42"/>
      <c r="L181" s="45"/>
      <c r="M181" s="42"/>
      <c r="N181" s="45"/>
      <c r="O181" s="42"/>
      <c r="P181" s="50">
        <v>2564.4884999999995</v>
      </c>
      <c r="Q181"/>
      <c r="R181"/>
      <c r="S181"/>
      <c r="T181">
        <f>T290</f>
        <v>0</v>
      </c>
      <c r="U181" s="50">
        <f>2229.99*(K180/W181)</f>
        <v>2229.9899999999998</v>
      </c>
      <c r="V181"/>
      <c r="W181" s="68">
        <v>0.35893799999999998</v>
      </c>
      <c r="X181"/>
      <c r="Y181"/>
      <c r="Z181"/>
      <c r="AA181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38"/>
      <c r="AW181" s="38"/>
      <c r="AX181" s="38"/>
      <c r="AY181" s="38"/>
      <c r="AZ181" s="6"/>
      <c r="BA181" s="38" t="s">
        <v>63</v>
      </c>
      <c r="BB181" s="6"/>
      <c r="BC181" s="6"/>
      <c r="BD181" s="6"/>
      <c r="BE181" s="6"/>
      <c r="BF181" s="6"/>
      <c r="BG181" s="6"/>
      <c r="BH181" s="6"/>
      <c r="BI181" s="6"/>
      <c r="BJ181" s="6"/>
      <c r="BK181" s="6"/>
    </row>
    <row r="182" spans="1:63" s="19" customFormat="1" ht="23.25" x14ac:dyDescent="0.25">
      <c r="A182" s="39" t="s">
        <v>198</v>
      </c>
      <c r="B182" s="40" t="s">
        <v>199</v>
      </c>
      <c r="C182" s="103" t="s">
        <v>200</v>
      </c>
      <c r="D182" s="103"/>
      <c r="E182" s="103"/>
      <c r="F182" s="103"/>
      <c r="G182" s="103"/>
      <c r="H182" s="41" t="s">
        <v>55</v>
      </c>
      <c r="I182" s="42">
        <v>0.182</v>
      </c>
      <c r="J182" s="43">
        <v>1</v>
      </c>
      <c r="K182" s="44">
        <v>0.182</v>
      </c>
      <c r="L182" s="45"/>
      <c r="M182" s="42"/>
      <c r="N182" s="45"/>
      <c r="O182" s="42"/>
      <c r="P182" s="50"/>
      <c r="Q182"/>
      <c r="R182"/>
      <c r="S182"/>
      <c r="T182"/>
      <c r="U182" s="46"/>
      <c r="V182"/>
      <c r="W182" s="42"/>
      <c r="X182"/>
      <c r="Y182"/>
      <c r="Z182"/>
      <c r="AA18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38"/>
      <c r="AW182" s="38"/>
      <c r="AX182" s="38" t="s">
        <v>200</v>
      </c>
      <c r="AY182" s="38"/>
      <c r="AZ182" s="6"/>
      <c r="BA182" s="38"/>
      <c r="BB182" s="6"/>
      <c r="BC182" s="6"/>
      <c r="BD182" s="6"/>
      <c r="BE182" s="6"/>
      <c r="BF182" s="6"/>
      <c r="BG182" s="6"/>
      <c r="BH182" s="6"/>
      <c r="BI182" s="6"/>
      <c r="BJ182" s="6"/>
      <c r="BK182" s="6"/>
    </row>
    <row r="183" spans="1:63" s="19" customFormat="1" ht="15" x14ac:dyDescent="0.25">
      <c r="A183" s="47"/>
      <c r="B183" s="48"/>
      <c r="C183" s="102" t="s">
        <v>56</v>
      </c>
      <c r="D183" s="102"/>
      <c r="E183" s="102"/>
      <c r="F183" s="102"/>
      <c r="G183" s="102"/>
      <c r="H183" s="41"/>
      <c r="I183" s="42"/>
      <c r="J183" s="42"/>
      <c r="K183" s="42"/>
      <c r="L183" s="45"/>
      <c r="M183" s="42"/>
      <c r="N183" s="49"/>
      <c r="O183" s="42"/>
      <c r="P183" s="50">
        <v>20427.219999999998</v>
      </c>
      <c r="Q183" s="51"/>
      <c r="R183" s="51"/>
      <c r="S183"/>
      <c r="T183">
        <f>T290</f>
        <v>0</v>
      </c>
      <c r="U183" s="50">
        <v>17762.8</v>
      </c>
      <c r="V183"/>
      <c r="W183" s="44">
        <v>0.182</v>
      </c>
      <c r="X183"/>
      <c r="Y183"/>
      <c r="Z183"/>
      <c r="AA183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38"/>
      <c r="AW183" s="38"/>
      <c r="AX183" s="38"/>
      <c r="AY183" s="38" t="s">
        <v>56</v>
      </c>
      <c r="AZ183" s="6"/>
      <c r="BA183" s="38"/>
      <c r="BB183" s="6"/>
      <c r="BC183" s="6"/>
      <c r="BD183" s="6"/>
      <c r="BE183" s="6"/>
      <c r="BF183" s="6"/>
      <c r="BG183" s="6"/>
      <c r="BH183" s="6"/>
      <c r="BI183" s="6"/>
      <c r="BJ183" s="6"/>
      <c r="BK183" s="6"/>
    </row>
    <row r="184" spans="1:63" s="19" customFormat="1" ht="15" x14ac:dyDescent="0.25">
      <c r="A184" s="52"/>
      <c r="B184" s="53"/>
      <c r="C184" s="104" t="s">
        <v>57</v>
      </c>
      <c r="D184" s="104"/>
      <c r="E184" s="104"/>
      <c r="F184" s="104"/>
      <c r="G184" s="104"/>
      <c r="H184" s="54"/>
      <c r="I184" s="55"/>
      <c r="J184" s="55"/>
      <c r="K184" s="55"/>
      <c r="L184" s="56"/>
      <c r="M184" s="55"/>
      <c r="N184" s="56"/>
      <c r="O184" s="55"/>
      <c r="P184" s="77">
        <v>20289.035999999996</v>
      </c>
      <c r="Q184"/>
      <c r="R184"/>
      <c r="S184"/>
      <c r="T184">
        <f>T290</f>
        <v>0</v>
      </c>
      <c r="U184" s="57">
        <v>17642.64</v>
      </c>
      <c r="V184"/>
      <c r="W184" s="42"/>
      <c r="X184"/>
      <c r="Y184"/>
      <c r="Z184"/>
      <c r="AA184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38"/>
      <c r="AW184" s="38"/>
      <c r="AX184" s="38"/>
      <c r="AY184" s="38"/>
      <c r="AZ184" s="6" t="s">
        <v>57</v>
      </c>
      <c r="BA184" s="38"/>
      <c r="BB184" s="6"/>
      <c r="BC184" s="6"/>
      <c r="BD184" s="6"/>
      <c r="BE184" s="6"/>
      <c r="BF184" s="6"/>
      <c r="BG184" s="6"/>
      <c r="BH184" s="6"/>
      <c r="BI184" s="6"/>
      <c r="BJ184" s="6"/>
      <c r="BK184" s="6"/>
    </row>
    <row r="185" spans="1:63" s="19" customFormat="1" ht="15" x14ac:dyDescent="0.25">
      <c r="A185" s="52"/>
      <c r="B185" s="53" t="s">
        <v>187</v>
      </c>
      <c r="C185" s="104" t="s">
        <v>188</v>
      </c>
      <c r="D185" s="104"/>
      <c r="E185" s="104"/>
      <c r="F185" s="104"/>
      <c r="G185" s="104"/>
      <c r="H185" s="54" t="s">
        <v>60</v>
      </c>
      <c r="I185" s="58">
        <v>112</v>
      </c>
      <c r="J185" s="55"/>
      <c r="K185" s="58">
        <v>112</v>
      </c>
      <c r="L185" s="56"/>
      <c r="M185" s="55"/>
      <c r="N185" s="56"/>
      <c r="O185" s="55"/>
      <c r="P185" s="77">
        <v>22723.723999999995</v>
      </c>
      <c r="Q185"/>
      <c r="R185"/>
      <c r="S185"/>
      <c r="T185">
        <f>T290</f>
        <v>0</v>
      </c>
      <c r="U185" s="57">
        <v>19759.759999999998</v>
      </c>
      <c r="V185"/>
      <c r="W185" s="55"/>
      <c r="X185"/>
      <c r="Y185"/>
      <c r="Z185"/>
      <c r="AA185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38"/>
      <c r="AW185" s="38"/>
      <c r="AX185" s="38"/>
      <c r="AY185" s="38"/>
      <c r="AZ185" s="6" t="s">
        <v>188</v>
      </c>
      <c r="BA185" s="38"/>
      <c r="BB185" s="6"/>
      <c r="BC185" s="6"/>
      <c r="BD185" s="6"/>
      <c r="BE185" s="6"/>
      <c r="BF185" s="6"/>
      <c r="BG185" s="6"/>
      <c r="BH185" s="6"/>
      <c r="BI185" s="6"/>
      <c r="BJ185" s="6"/>
      <c r="BK185" s="6"/>
    </row>
    <row r="186" spans="1:63" s="19" customFormat="1" ht="15" x14ac:dyDescent="0.25">
      <c r="A186" s="52"/>
      <c r="B186" s="53" t="s">
        <v>189</v>
      </c>
      <c r="C186" s="104" t="s">
        <v>190</v>
      </c>
      <c r="D186" s="104"/>
      <c r="E186" s="104"/>
      <c r="F186" s="104"/>
      <c r="G186" s="104"/>
      <c r="H186" s="54" t="s">
        <v>60</v>
      </c>
      <c r="I186" s="58">
        <v>65</v>
      </c>
      <c r="J186" s="55"/>
      <c r="K186" s="58">
        <v>65</v>
      </c>
      <c r="L186" s="56"/>
      <c r="M186" s="55"/>
      <c r="N186" s="56"/>
      <c r="O186" s="55"/>
      <c r="P186" s="77">
        <v>13187.877999999999</v>
      </c>
      <c r="Q186"/>
      <c r="R186"/>
      <c r="S186"/>
      <c r="T186">
        <f>T290</f>
        <v>0</v>
      </c>
      <c r="U186" s="57">
        <v>11467.72</v>
      </c>
      <c r="V186"/>
      <c r="W186" s="58">
        <v>112</v>
      </c>
      <c r="X186"/>
      <c r="Y186"/>
      <c r="Z186"/>
      <c r="AA18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38"/>
      <c r="AW186" s="38"/>
      <c r="AX186" s="38"/>
      <c r="AY186" s="38"/>
      <c r="AZ186" s="6" t="s">
        <v>190</v>
      </c>
      <c r="BA186" s="38"/>
      <c r="BB186" s="6"/>
      <c r="BC186" s="6"/>
      <c r="BD186" s="6"/>
      <c r="BE186" s="6"/>
      <c r="BF186" s="6"/>
      <c r="BG186" s="6"/>
      <c r="BH186" s="6"/>
      <c r="BI186" s="6"/>
      <c r="BJ186" s="6"/>
      <c r="BK186" s="6"/>
    </row>
    <row r="187" spans="1:63" s="19" customFormat="1" ht="15" x14ac:dyDescent="0.25">
      <c r="A187" s="59"/>
      <c r="B187" s="60"/>
      <c r="C187" s="102" t="s">
        <v>63</v>
      </c>
      <c r="D187" s="102"/>
      <c r="E187" s="102"/>
      <c r="F187" s="102"/>
      <c r="G187" s="102"/>
      <c r="H187" s="41"/>
      <c r="I187" s="42"/>
      <c r="J187" s="42"/>
      <c r="K187" s="42"/>
      <c r="L187" s="45"/>
      <c r="M187" s="42"/>
      <c r="N187" s="49">
        <v>326601.87</v>
      </c>
      <c r="O187" s="42"/>
      <c r="P187" s="50">
        <v>56338.821999999993</v>
      </c>
      <c r="Q187"/>
      <c r="R187"/>
      <c r="S187"/>
      <c r="T187">
        <f>T290</f>
        <v>0</v>
      </c>
      <c r="U187" s="50">
        <f>48990.28*(K182/W183)</f>
        <v>48990.28</v>
      </c>
      <c r="V187"/>
      <c r="W187" s="58">
        <v>65</v>
      </c>
      <c r="X187"/>
      <c r="Y187"/>
      <c r="Z187"/>
      <c r="AA187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38"/>
      <c r="AW187" s="38"/>
      <c r="AX187" s="38"/>
      <c r="AY187" s="38"/>
      <c r="AZ187" s="6"/>
      <c r="BA187" s="38" t="s">
        <v>63</v>
      </c>
      <c r="BB187" s="6"/>
      <c r="BC187" s="6"/>
      <c r="BD187" s="6"/>
      <c r="BE187" s="6"/>
      <c r="BF187" s="6"/>
      <c r="BG187" s="6"/>
      <c r="BH187" s="6"/>
      <c r="BI187" s="6"/>
      <c r="BJ187" s="6"/>
      <c r="BK187" s="6"/>
    </row>
    <row r="188" spans="1:63" s="19" customFormat="1" ht="23.25" x14ac:dyDescent="0.25">
      <c r="A188" s="39" t="s">
        <v>201</v>
      </c>
      <c r="B188" s="40" t="s">
        <v>202</v>
      </c>
      <c r="C188" s="103" t="s">
        <v>203</v>
      </c>
      <c r="D188" s="103"/>
      <c r="E188" s="103"/>
      <c r="F188" s="103"/>
      <c r="G188" s="103"/>
      <c r="H188" s="41" t="s">
        <v>67</v>
      </c>
      <c r="I188" s="42">
        <v>3</v>
      </c>
      <c r="J188" s="43">
        <v>1</v>
      </c>
      <c r="K188" s="43">
        <v>3</v>
      </c>
      <c r="L188" s="49">
        <v>1284.05</v>
      </c>
      <c r="M188" s="67">
        <v>1.2</v>
      </c>
      <c r="N188" s="49">
        <v>1540.86</v>
      </c>
      <c r="O188" s="42"/>
      <c r="P188" s="50">
        <v>5315.9669999999996</v>
      </c>
      <c r="Q188"/>
      <c r="R188"/>
      <c r="S188"/>
      <c r="T188">
        <f>T290</f>
        <v>0</v>
      </c>
      <c r="U188" s="50">
        <f>U189</f>
        <v>4622.58</v>
      </c>
      <c r="V188"/>
      <c r="W188" s="42"/>
      <c r="X188"/>
      <c r="Y188"/>
      <c r="Z188"/>
      <c r="AA188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38"/>
      <c r="AW188" s="38"/>
      <c r="AX188" s="38" t="s">
        <v>203</v>
      </c>
      <c r="AY188" s="38"/>
      <c r="AZ188" s="6"/>
      <c r="BA188" s="38"/>
      <c r="BB188" s="6"/>
      <c r="BC188" s="6"/>
      <c r="BD188" s="6"/>
      <c r="BE188" s="6"/>
      <c r="BF188" s="6"/>
      <c r="BG188" s="6"/>
      <c r="BH188" s="6"/>
      <c r="BI188" s="6"/>
      <c r="BJ188" s="6"/>
      <c r="BK188" s="6"/>
    </row>
    <row r="189" spans="1:63" s="19" customFormat="1" ht="15" x14ac:dyDescent="0.25">
      <c r="A189" s="59"/>
      <c r="B189" s="60"/>
      <c r="C189" s="102" t="s">
        <v>63</v>
      </c>
      <c r="D189" s="102"/>
      <c r="E189" s="102"/>
      <c r="F189" s="102"/>
      <c r="G189" s="102"/>
      <c r="H189" s="41"/>
      <c r="I189" s="42"/>
      <c r="J189" s="42"/>
      <c r="K189" s="42"/>
      <c r="L189" s="45"/>
      <c r="M189" s="42"/>
      <c r="N189" s="45"/>
      <c r="O189" s="42"/>
      <c r="P189" s="50">
        <v>5315.9669999999996</v>
      </c>
      <c r="Q189"/>
      <c r="R189"/>
      <c r="S189"/>
      <c r="T189">
        <f>T290</f>
        <v>0</v>
      </c>
      <c r="U189" s="50">
        <f>4622.58*(K188/W189)</f>
        <v>4622.58</v>
      </c>
      <c r="V189"/>
      <c r="W189" s="43">
        <v>3</v>
      </c>
      <c r="X189"/>
      <c r="Y189"/>
      <c r="Z189"/>
      <c r="AA189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38"/>
      <c r="AW189" s="38"/>
      <c r="AX189" s="38"/>
      <c r="AY189" s="38"/>
      <c r="AZ189" s="6"/>
      <c r="BA189" s="38" t="s">
        <v>63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</row>
    <row r="190" spans="1:63" s="19" customFormat="1" ht="34.5" x14ac:dyDescent="0.25">
      <c r="A190" s="39" t="s">
        <v>204</v>
      </c>
      <c r="B190" s="40" t="s">
        <v>205</v>
      </c>
      <c r="C190" s="103" t="s">
        <v>206</v>
      </c>
      <c r="D190" s="103"/>
      <c r="E190" s="103"/>
      <c r="F190" s="103"/>
      <c r="G190" s="103"/>
      <c r="H190" s="41" t="s">
        <v>71</v>
      </c>
      <c r="I190" s="42">
        <v>0.18</v>
      </c>
      <c r="J190" s="43">
        <v>1</v>
      </c>
      <c r="K190" s="62">
        <v>0.18</v>
      </c>
      <c r="L190" s="49">
        <v>36038.35</v>
      </c>
      <c r="M190" s="62">
        <v>1.1399999999999999</v>
      </c>
      <c r="N190" s="49">
        <v>41083.72</v>
      </c>
      <c r="O190" s="42"/>
      <c r="P190" s="50">
        <v>8504.3304999999982</v>
      </c>
      <c r="Q190"/>
      <c r="R190"/>
      <c r="S190"/>
      <c r="T190">
        <f>T290</f>
        <v>0</v>
      </c>
      <c r="U190" s="50">
        <f>U191</f>
        <v>7395.07</v>
      </c>
      <c r="V190"/>
      <c r="W190" s="42"/>
      <c r="X190"/>
      <c r="Y190"/>
      <c r="Z190"/>
      <c r="AA190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38"/>
      <c r="AW190" s="38"/>
      <c r="AX190" s="38" t="s">
        <v>206</v>
      </c>
      <c r="AY190" s="38"/>
      <c r="AZ190" s="6"/>
      <c r="BA190" s="38"/>
      <c r="BB190" s="6"/>
      <c r="BC190" s="6"/>
      <c r="BD190" s="6"/>
      <c r="BE190" s="6"/>
      <c r="BF190" s="6"/>
      <c r="BG190" s="6"/>
      <c r="BH190" s="6"/>
      <c r="BI190" s="6"/>
      <c r="BJ190" s="6"/>
      <c r="BK190" s="6"/>
    </row>
    <row r="191" spans="1:63" s="19" customFormat="1" ht="15" x14ac:dyDescent="0.25">
      <c r="A191" s="59"/>
      <c r="B191" s="60"/>
      <c r="C191" s="102" t="s">
        <v>63</v>
      </c>
      <c r="D191" s="102"/>
      <c r="E191" s="102"/>
      <c r="F191" s="102"/>
      <c r="G191" s="102"/>
      <c r="H191" s="41"/>
      <c r="I191" s="42"/>
      <c r="J191" s="42"/>
      <c r="K191" s="42"/>
      <c r="L191" s="45"/>
      <c r="M191" s="42"/>
      <c r="N191" s="45"/>
      <c r="O191" s="42"/>
      <c r="P191" s="50">
        <v>8504.3304999999982</v>
      </c>
      <c r="Q191"/>
      <c r="R191"/>
      <c r="S191"/>
      <c r="T191">
        <f>T290</f>
        <v>0</v>
      </c>
      <c r="U191" s="50">
        <f>7395.07*(K190/W191)</f>
        <v>7395.07</v>
      </c>
      <c r="V191"/>
      <c r="W191" s="62">
        <v>0.18</v>
      </c>
      <c r="X191"/>
      <c r="Y191"/>
      <c r="Z191"/>
      <c r="AA191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38"/>
      <c r="AW191" s="38"/>
      <c r="AX191" s="38"/>
      <c r="AY191" s="38"/>
      <c r="AZ191" s="6"/>
      <c r="BA191" s="38" t="s">
        <v>63</v>
      </c>
      <c r="BB191" s="6"/>
      <c r="BC191" s="6"/>
      <c r="BD191" s="6"/>
      <c r="BE191" s="6"/>
      <c r="BF191" s="6"/>
      <c r="BG191" s="6"/>
      <c r="BH191" s="6"/>
      <c r="BI191" s="6"/>
      <c r="BJ191" s="6"/>
      <c r="BK191" s="6"/>
    </row>
    <row r="192" spans="1:63" s="19" customFormat="1" ht="40.5" customHeight="1" x14ac:dyDescent="0.25">
      <c r="A192" s="39" t="s">
        <v>207</v>
      </c>
      <c r="B192" s="40" t="s">
        <v>208</v>
      </c>
      <c r="C192" s="103" t="s">
        <v>305</v>
      </c>
      <c r="D192" s="103"/>
      <c r="E192" s="103"/>
      <c r="F192" s="103"/>
      <c r="G192" s="103"/>
      <c r="H192" s="41" t="s">
        <v>105</v>
      </c>
      <c r="I192" s="42">
        <v>15.02</v>
      </c>
      <c r="J192" s="43">
        <v>1</v>
      </c>
      <c r="K192" s="62">
        <v>15.02</v>
      </c>
      <c r="L192" s="61">
        <v>603.37</v>
      </c>
      <c r="M192" s="62">
        <v>1.25</v>
      </c>
      <c r="N192" s="61">
        <v>754.21</v>
      </c>
      <c r="O192" s="42"/>
      <c r="P192" s="50">
        <v>13270.321499999998</v>
      </c>
      <c r="Q192"/>
      <c r="R192"/>
      <c r="S192"/>
      <c r="T192">
        <f>T290</f>
        <v>0</v>
      </c>
      <c r="U192" s="50">
        <f>U193</f>
        <v>15685.243276018098</v>
      </c>
      <c r="V192"/>
      <c r="W192" s="42"/>
      <c r="X192"/>
      <c r="Y192"/>
      <c r="Z192"/>
      <c r="AA192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38"/>
      <c r="AW192" s="38"/>
      <c r="AX192" s="38" t="s">
        <v>209</v>
      </c>
      <c r="AY192" s="38"/>
      <c r="AZ192" s="6"/>
      <c r="BA192" s="38"/>
      <c r="BB192" s="6"/>
      <c r="BC192" s="6"/>
      <c r="BD192" s="6"/>
      <c r="BE192" s="6"/>
      <c r="BF192" s="6"/>
      <c r="BG192" s="6"/>
      <c r="BH192" s="6"/>
      <c r="BI192" s="6"/>
      <c r="BJ192" s="6"/>
      <c r="BK192" s="6"/>
    </row>
    <row r="193" spans="1:63" s="19" customFormat="1" ht="15" x14ac:dyDescent="0.25">
      <c r="A193" s="59"/>
      <c r="B193" s="60"/>
      <c r="C193" s="102" t="s">
        <v>63</v>
      </c>
      <c r="D193" s="102"/>
      <c r="E193" s="102"/>
      <c r="F193" s="102"/>
      <c r="G193" s="102"/>
      <c r="H193" s="41"/>
      <c r="I193" s="42"/>
      <c r="J193" s="42"/>
      <c r="K193" s="42"/>
      <c r="L193" s="45"/>
      <c r="M193" s="42"/>
      <c r="N193" s="45"/>
      <c r="O193" s="42"/>
      <c r="P193" s="50">
        <v>13270.321499999998</v>
      </c>
      <c r="Q193"/>
      <c r="R193"/>
      <c r="S193"/>
      <c r="T193">
        <f>T290</f>
        <v>0</v>
      </c>
      <c r="U193" s="50">
        <f>11539.41*(K192/W193)</f>
        <v>15685.243276018098</v>
      </c>
      <c r="V193"/>
      <c r="W193" s="67">
        <v>11.05</v>
      </c>
      <c r="X193"/>
      <c r="Y193"/>
      <c r="Z193"/>
      <c r="AA193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38"/>
      <c r="AW193" s="38"/>
      <c r="AX193" s="38"/>
      <c r="AY193" s="38"/>
      <c r="AZ193" s="6"/>
      <c r="BA193" s="38" t="s">
        <v>63</v>
      </c>
      <c r="BB193" s="6"/>
      <c r="BC193" s="6"/>
      <c r="BD193" s="6"/>
      <c r="BE193" s="6"/>
      <c r="BF193" s="6"/>
      <c r="BG193" s="6"/>
      <c r="BH193" s="6"/>
      <c r="BI193" s="6"/>
      <c r="BJ193" s="6"/>
      <c r="BK193" s="6"/>
    </row>
    <row r="194" spans="1:63" s="19" customFormat="1" ht="15" x14ac:dyDescent="0.25">
      <c r="A194" s="107" t="s">
        <v>210</v>
      </c>
      <c r="B194" s="108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109"/>
      <c r="Q194"/>
      <c r="R194"/>
      <c r="S194"/>
      <c r="T194"/>
      <c r="U194"/>
      <c r="V194"/>
      <c r="W194" s="42"/>
      <c r="X194"/>
      <c r="Y194"/>
      <c r="Z194"/>
      <c r="AA194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38"/>
      <c r="AW194" s="38" t="s">
        <v>210</v>
      </c>
      <c r="AX194" s="38"/>
      <c r="AY194" s="38"/>
      <c r="AZ194" s="6"/>
      <c r="BA194" s="38"/>
      <c r="BB194" s="6"/>
      <c r="BC194" s="6"/>
      <c r="BD194" s="6"/>
      <c r="BE194" s="6"/>
      <c r="BF194" s="6"/>
      <c r="BG194" s="6"/>
      <c r="BH194" s="6"/>
      <c r="BI194" s="6"/>
      <c r="BJ194" s="6"/>
      <c r="BK194" s="6"/>
    </row>
    <row r="195" spans="1:63" s="19" customFormat="1" ht="15" x14ac:dyDescent="0.25">
      <c r="A195" s="39" t="s">
        <v>211</v>
      </c>
      <c r="B195" s="40" t="s">
        <v>212</v>
      </c>
      <c r="C195" s="103" t="s">
        <v>213</v>
      </c>
      <c r="D195" s="103"/>
      <c r="E195" s="103"/>
      <c r="F195" s="103"/>
      <c r="G195" s="103"/>
      <c r="H195" s="41" t="s">
        <v>214</v>
      </c>
      <c r="I195" s="42">
        <v>0.1</v>
      </c>
      <c r="J195" s="43">
        <v>1</v>
      </c>
      <c r="K195" s="67">
        <v>0.1</v>
      </c>
      <c r="L195" s="45"/>
      <c r="M195" s="42"/>
      <c r="N195" s="45"/>
      <c r="O195" s="42"/>
      <c r="P195" s="46"/>
      <c r="Q195"/>
      <c r="R195"/>
      <c r="S195"/>
      <c r="T195"/>
      <c r="U195"/>
      <c r="V195"/>
      <c r="W195" s="67">
        <v>0.1</v>
      </c>
      <c r="X195"/>
      <c r="Y195"/>
      <c r="Z195"/>
      <c r="AA195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38"/>
      <c r="AW195" s="38"/>
      <c r="AX195" s="38" t="s">
        <v>213</v>
      </c>
      <c r="AY195" s="38"/>
      <c r="AZ195" s="6"/>
      <c r="BA195" s="38"/>
      <c r="BB195" s="6"/>
      <c r="BC195" s="6"/>
      <c r="BD195" s="6"/>
      <c r="BE195" s="6"/>
      <c r="BF195" s="6"/>
      <c r="BG195" s="6"/>
      <c r="BH195" s="6"/>
      <c r="BI195" s="6"/>
      <c r="BJ195" s="6"/>
      <c r="BK195" s="6"/>
    </row>
    <row r="196" spans="1:63" s="19" customFormat="1" ht="15" x14ac:dyDescent="0.25">
      <c r="A196" s="47"/>
      <c r="B196" s="48"/>
      <c r="C196" s="102" t="s">
        <v>56</v>
      </c>
      <c r="D196" s="102"/>
      <c r="E196" s="102"/>
      <c r="F196" s="102"/>
      <c r="G196" s="102"/>
      <c r="H196" s="41"/>
      <c r="I196" s="42"/>
      <c r="J196" s="42"/>
      <c r="K196" s="42"/>
      <c r="L196" s="45"/>
      <c r="M196" s="42"/>
      <c r="N196" s="49"/>
      <c r="O196" s="42"/>
      <c r="P196" s="50">
        <v>442.25549999999998</v>
      </c>
      <c r="Q196" s="51"/>
      <c r="R196" s="51"/>
      <c r="S196"/>
      <c r="T196">
        <f>T290</f>
        <v>0</v>
      </c>
      <c r="U196" s="50">
        <v>384.57</v>
      </c>
      <c r="V196"/>
      <c r="W196" s="42"/>
      <c r="X196"/>
      <c r="Y196"/>
      <c r="Z196"/>
      <c r="AA19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38"/>
      <c r="AW196" s="38"/>
      <c r="AX196" s="38"/>
      <c r="AY196" s="38" t="s">
        <v>56</v>
      </c>
      <c r="AZ196" s="6"/>
      <c r="BA196" s="38"/>
      <c r="BB196" s="6"/>
      <c r="BC196" s="6"/>
      <c r="BD196" s="6"/>
      <c r="BE196" s="6"/>
      <c r="BF196" s="6"/>
      <c r="BG196" s="6"/>
      <c r="BH196" s="6"/>
      <c r="BI196" s="6"/>
      <c r="BJ196" s="6"/>
      <c r="BK196" s="6"/>
    </row>
    <row r="197" spans="1:63" s="19" customFormat="1" ht="15" x14ac:dyDescent="0.25">
      <c r="A197" s="52"/>
      <c r="B197" s="53"/>
      <c r="C197" s="104" t="s">
        <v>57</v>
      </c>
      <c r="D197" s="104"/>
      <c r="E197" s="104"/>
      <c r="F197" s="104"/>
      <c r="G197" s="104"/>
      <c r="H197" s="54"/>
      <c r="I197" s="55"/>
      <c r="J197" s="55"/>
      <c r="K197" s="55"/>
      <c r="L197" s="56"/>
      <c r="M197" s="55"/>
      <c r="N197" s="56"/>
      <c r="O197" s="55"/>
      <c r="P197" s="77">
        <v>389.29799999999994</v>
      </c>
      <c r="Q197"/>
      <c r="R197"/>
      <c r="S197"/>
      <c r="T197">
        <f>T290</f>
        <v>0</v>
      </c>
      <c r="U197" s="65">
        <v>338.52</v>
      </c>
      <c r="V197"/>
      <c r="W197" s="55"/>
      <c r="X197"/>
      <c r="Y197"/>
      <c r="Z197"/>
      <c r="AA197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38"/>
      <c r="AW197" s="38"/>
      <c r="AX197" s="38"/>
      <c r="AY197" s="38"/>
      <c r="AZ197" s="6" t="s">
        <v>57</v>
      </c>
      <c r="BA197" s="38"/>
      <c r="BB197" s="6"/>
      <c r="BC197" s="6"/>
      <c r="BD197" s="6"/>
      <c r="BE197" s="6"/>
      <c r="BF197" s="6"/>
      <c r="BG197" s="6"/>
      <c r="BH197" s="6"/>
      <c r="BI197" s="6"/>
      <c r="BJ197" s="6"/>
      <c r="BK197" s="6"/>
    </row>
    <row r="198" spans="1:63" s="19" customFormat="1" ht="34.5" x14ac:dyDescent="0.25">
      <c r="A198" s="52"/>
      <c r="B198" s="53" t="s">
        <v>215</v>
      </c>
      <c r="C198" s="104" t="s">
        <v>216</v>
      </c>
      <c r="D198" s="104"/>
      <c r="E198" s="104"/>
      <c r="F198" s="104"/>
      <c r="G198" s="104"/>
      <c r="H198" s="54" t="s">
        <v>60</v>
      </c>
      <c r="I198" s="58">
        <v>121</v>
      </c>
      <c r="J198" s="55"/>
      <c r="K198" s="58">
        <v>121</v>
      </c>
      <c r="L198" s="56"/>
      <c r="M198" s="55"/>
      <c r="N198" s="56"/>
      <c r="O198" s="55"/>
      <c r="P198" s="77">
        <v>471.05149999999998</v>
      </c>
      <c r="Q198"/>
      <c r="R198"/>
      <c r="S198"/>
      <c r="T198">
        <f>T290</f>
        <v>0</v>
      </c>
      <c r="U198" s="65">
        <v>409.61</v>
      </c>
      <c r="V198"/>
      <c r="W198" s="58">
        <v>121</v>
      </c>
      <c r="X198"/>
      <c r="Y198"/>
      <c r="Z198"/>
      <c r="AA198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38"/>
      <c r="AW198" s="38"/>
      <c r="AX198" s="38"/>
      <c r="AY198" s="38"/>
      <c r="AZ198" s="6" t="s">
        <v>216</v>
      </c>
      <c r="BA198" s="38"/>
      <c r="BB198" s="6"/>
      <c r="BC198" s="6"/>
      <c r="BD198" s="6"/>
      <c r="BE198" s="6"/>
      <c r="BF198" s="6"/>
      <c r="BG198" s="6"/>
      <c r="BH198" s="6"/>
      <c r="BI198" s="6"/>
      <c r="BJ198" s="6"/>
      <c r="BK198" s="6"/>
    </row>
    <row r="199" spans="1:63" s="19" customFormat="1" ht="34.5" x14ac:dyDescent="0.25">
      <c r="A199" s="52"/>
      <c r="B199" s="53" t="s">
        <v>217</v>
      </c>
      <c r="C199" s="104" t="s">
        <v>218</v>
      </c>
      <c r="D199" s="104"/>
      <c r="E199" s="104"/>
      <c r="F199" s="104"/>
      <c r="G199" s="104"/>
      <c r="H199" s="54" t="s">
        <v>60</v>
      </c>
      <c r="I199" s="58">
        <v>72</v>
      </c>
      <c r="J199" s="55"/>
      <c r="K199" s="58">
        <v>72</v>
      </c>
      <c r="L199" s="56"/>
      <c r="M199" s="55"/>
      <c r="N199" s="56"/>
      <c r="O199" s="55"/>
      <c r="P199" s="77">
        <v>280.28949999999998</v>
      </c>
      <c r="Q199"/>
      <c r="R199"/>
      <c r="S199"/>
      <c r="T199">
        <f>T290</f>
        <v>0</v>
      </c>
      <c r="U199" s="65">
        <v>243.73</v>
      </c>
      <c r="V199"/>
      <c r="W199" s="58">
        <v>72</v>
      </c>
      <c r="X199"/>
      <c r="Y199"/>
      <c r="Z199"/>
      <c r="AA199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38"/>
      <c r="AW199" s="38"/>
      <c r="AX199" s="38"/>
      <c r="AY199" s="38"/>
      <c r="AZ199" s="6" t="s">
        <v>218</v>
      </c>
      <c r="BA199" s="38"/>
      <c r="BB199" s="6"/>
      <c r="BC199" s="6"/>
      <c r="BD199" s="6"/>
      <c r="BE199" s="6"/>
      <c r="BF199" s="6"/>
      <c r="BG199" s="6"/>
      <c r="BH199" s="6"/>
      <c r="BI199" s="6"/>
      <c r="BJ199" s="6"/>
      <c r="BK199" s="6"/>
    </row>
    <row r="200" spans="1:63" s="19" customFormat="1" ht="15" x14ac:dyDescent="0.25">
      <c r="A200" s="59"/>
      <c r="B200" s="60"/>
      <c r="C200" s="102" t="s">
        <v>63</v>
      </c>
      <c r="D200" s="102"/>
      <c r="E200" s="102"/>
      <c r="F200" s="102"/>
      <c r="G200" s="102"/>
      <c r="H200" s="41"/>
      <c r="I200" s="42"/>
      <c r="J200" s="42"/>
      <c r="K200" s="42"/>
      <c r="L200" s="45"/>
      <c r="M200" s="42"/>
      <c r="N200" s="49">
        <v>10379.1</v>
      </c>
      <c r="O200" s="42"/>
      <c r="P200" s="50">
        <v>1193.5965000000001</v>
      </c>
      <c r="Q200"/>
      <c r="R200"/>
      <c r="S200"/>
      <c r="T200">
        <f>T290</f>
        <v>0</v>
      </c>
      <c r="U200" s="50">
        <f>1037.91*(K195/W195)</f>
        <v>1037.9100000000001</v>
      </c>
      <c r="V200"/>
      <c r="W200" s="42"/>
      <c r="X200"/>
      <c r="Y200"/>
      <c r="Z200"/>
      <c r="AA200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38"/>
      <c r="AW200" s="38"/>
      <c r="AX200" s="38"/>
      <c r="AY200" s="38"/>
      <c r="AZ200" s="6"/>
      <c r="BA200" s="38" t="s">
        <v>63</v>
      </c>
      <c r="BB200" s="6"/>
      <c r="BC200" s="6"/>
      <c r="BD200" s="6"/>
      <c r="BE200" s="6"/>
      <c r="BF200" s="6"/>
      <c r="BG200" s="6"/>
      <c r="BH200" s="6"/>
      <c r="BI200" s="6"/>
      <c r="BJ200" s="6"/>
      <c r="BK200" s="6"/>
    </row>
    <row r="201" spans="1:63" s="19" customFormat="1" ht="34.5" x14ac:dyDescent="0.25">
      <c r="A201" s="39" t="s">
        <v>219</v>
      </c>
      <c r="B201" s="40" t="s">
        <v>220</v>
      </c>
      <c r="C201" s="103" t="s">
        <v>221</v>
      </c>
      <c r="D201" s="103"/>
      <c r="E201" s="103"/>
      <c r="F201" s="103"/>
      <c r="G201" s="103"/>
      <c r="H201" s="41" t="s">
        <v>222</v>
      </c>
      <c r="I201" s="42">
        <v>1</v>
      </c>
      <c r="J201" s="43">
        <v>1</v>
      </c>
      <c r="K201" s="43">
        <v>1</v>
      </c>
      <c r="L201" s="49">
        <v>8514.9500000000007</v>
      </c>
      <c r="M201" s="62">
        <v>1.17</v>
      </c>
      <c r="N201" s="49">
        <v>9962.49</v>
      </c>
      <c r="O201" s="42"/>
      <c r="P201" s="50">
        <v>11456.863499999999</v>
      </c>
      <c r="Q201"/>
      <c r="R201"/>
      <c r="S201"/>
      <c r="T201">
        <f>T290</f>
        <v>0</v>
      </c>
      <c r="U201" s="50">
        <f>U202</f>
        <v>9962.49</v>
      </c>
      <c r="V201"/>
      <c r="W201" s="43">
        <v>1</v>
      </c>
      <c r="X201"/>
      <c r="Y201"/>
      <c r="Z201"/>
      <c r="AA201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38"/>
      <c r="AW201" s="38"/>
      <c r="AX201" s="38" t="s">
        <v>221</v>
      </c>
      <c r="AY201" s="38"/>
      <c r="AZ201" s="6"/>
      <c r="BA201" s="38"/>
      <c r="BB201" s="6"/>
      <c r="BC201" s="6"/>
      <c r="BD201" s="6"/>
      <c r="BE201" s="6"/>
      <c r="BF201" s="6"/>
      <c r="BG201" s="6"/>
      <c r="BH201" s="6"/>
      <c r="BI201" s="6"/>
      <c r="BJ201" s="6"/>
      <c r="BK201" s="6"/>
    </row>
    <row r="202" spans="1:63" s="19" customFormat="1" ht="15" x14ac:dyDescent="0.25">
      <c r="A202" s="59"/>
      <c r="B202" s="60"/>
      <c r="C202" s="102" t="s">
        <v>63</v>
      </c>
      <c r="D202" s="102"/>
      <c r="E202" s="102"/>
      <c r="F202" s="102"/>
      <c r="G202" s="102"/>
      <c r="H202" s="41"/>
      <c r="I202" s="42"/>
      <c r="J202" s="42"/>
      <c r="K202" s="42"/>
      <c r="L202" s="45"/>
      <c r="M202" s="42"/>
      <c r="N202" s="45"/>
      <c r="O202" s="42"/>
      <c r="P202" s="50">
        <v>11456.863499999999</v>
      </c>
      <c r="Q202"/>
      <c r="R202"/>
      <c r="S202"/>
      <c r="T202">
        <f>T290</f>
        <v>0</v>
      </c>
      <c r="U202" s="50">
        <f>9962.49*(K201/W201)</f>
        <v>9962.49</v>
      </c>
      <c r="V202"/>
      <c r="W202" s="42"/>
      <c r="X202"/>
      <c r="Y202"/>
      <c r="Z202"/>
      <c r="AA202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38"/>
      <c r="AW202" s="38"/>
      <c r="AX202" s="38"/>
      <c r="AY202" s="38"/>
      <c r="AZ202" s="6"/>
      <c r="BA202" s="38" t="s">
        <v>63</v>
      </c>
      <c r="BB202" s="6"/>
      <c r="BC202" s="6"/>
      <c r="BD202" s="6"/>
      <c r="BE202" s="6"/>
      <c r="BF202" s="6"/>
      <c r="BG202" s="6"/>
      <c r="BH202" s="6"/>
      <c r="BI202" s="6"/>
      <c r="BJ202" s="6"/>
      <c r="BK202" s="6"/>
    </row>
    <row r="203" spans="1:63" s="19" customFormat="1" ht="15" x14ac:dyDescent="0.25">
      <c r="A203" s="39" t="s">
        <v>223</v>
      </c>
      <c r="B203" s="40" t="s">
        <v>306</v>
      </c>
      <c r="C203" s="103" t="s">
        <v>307</v>
      </c>
      <c r="D203" s="103"/>
      <c r="E203" s="103"/>
      <c r="F203" s="103"/>
      <c r="G203" s="103"/>
      <c r="H203" s="41" t="s">
        <v>75</v>
      </c>
      <c r="I203" s="42">
        <v>0.03</v>
      </c>
      <c r="J203" s="43">
        <v>1</v>
      </c>
      <c r="K203" s="62">
        <v>0.03</v>
      </c>
      <c r="L203" s="45"/>
      <c r="M203" s="42"/>
      <c r="N203" s="45"/>
      <c r="O203" s="42"/>
      <c r="P203" s="50"/>
      <c r="Q203"/>
      <c r="R203"/>
      <c r="S203"/>
      <c r="T203"/>
      <c r="U203" s="46"/>
      <c r="V203"/>
      <c r="W203" s="62">
        <v>0.03</v>
      </c>
      <c r="X203"/>
      <c r="Y203"/>
      <c r="Z203"/>
      <c r="AA203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38"/>
      <c r="AW203" s="38"/>
      <c r="AX203" s="38" t="s">
        <v>224</v>
      </c>
      <c r="AY203" s="38"/>
      <c r="AZ203" s="6"/>
      <c r="BA203" s="38"/>
      <c r="BB203" s="6"/>
      <c r="BC203" s="6"/>
      <c r="BD203" s="6"/>
      <c r="BE203" s="6"/>
      <c r="BF203" s="6"/>
      <c r="BG203" s="6"/>
      <c r="BH203" s="6"/>
      <c r="BI203" s="6"/>
      <c r="BJ203" s="6"/>
      <c r="BK203" s="6"/>
    </row>
    <row r="204" spans="1:63" s="19" customFormat="1" ht="15" x14ac:dyDescent="0.25">
      <c r="A204" s="47"/>
      <c r="B204" s="48"/>
      <c r="C204" s="102" t="s">
        <v>56</v>
      </c>
      <c r="D204" s="102"/>
      <c r="E204" s="102"/>
      <c r="F204" s="102"/>
      <c r="G204" s="102"/>
      <c r="H204" s="41"/>
      <c r="I204" s="42"/>
      <c r="J204" s="42"/>
      <c r="K204" s="42"/>
      <c r="L204" s="45"/>
      <c r="M204" s="42"/>
      <c r="N204" s="49"/>
      <c r="O204" s="42"/>
      <c r="P204" s="50">
        <v>3628.2</v>
      </c>
      <c r="Q204" s="51"/>
      <c r="R204" s="51"/>
      <c r="S204"/>
      <c r="T204">
        <f>T290</f>
        <v>0</v>
      </c>
      <c r="U204" s="50">
        <v>3628.2</v>
      </c>
      <c r="V204"/>
      <c r="W204" s="42"/>
      <c r="X204"/>
      <c r="Y204"/>
      <c r="Z204"/>
      <c r="AA204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38"/>
      <c r="AW204" s="38"/>
      <c r="AX204" s="38"/>
      <c r="AY204" s="38" t="s">
        <v>56</v>
      </c>
      <c r="AZ204" s="6"/>
      <c r="BA204" s="38"/>
      <c r="BB204" s="6"/>
      <c r="BC204" s="6"/>
      <c r="BD204" s="6"/>
      <c r="BE204" s="6"/>
      <c r="BF204" s="6"/>
      <c r="BG204" s="6"/>
      <c r="BH204" s="6"/>
      <c r="BI204" s="6"/>
      <c r="BJ204" s="6"/>
      <c r="BK204" s="6"/>
    </row>
    <row r="205" spans="1:63" s="19" customFormat="1" ht="15" x14ac:dyDescent="0.25">
      <c r="A205" s="52"/>
      <c r="B205" s="53"/>
      <c r="C205" s="104" t="s">
        <v>57</v>
      </c>
      <c r="D205" s="104"/>
      <c r="E205" s="104"/>
      <c r="F205" s="104"/>
      <c r="G205" s="104"/>
      <c r="H205" s="54"/>
      <c r="I205" s="55"/>
      <c r="J205" s="55"/>
      <c r="K205" s="55"/>
      <c r="L205" s="56"/>
      <c r="M205" s="55"/>
      <c r="N205" s="56"/>
      <c r="O205" s="55"/>
      <c r="P205" s="77"/>
      <c r="Q205"/>
      <c r="R205"/>
      <c r="S205"/>
      <c r="T205">
        <f>T290</f>
        <v>0</v>
      </c>
      <c r="U205" s="57">
        <v>14372.62</v>
      </c>
      <c r="V205"/>
      <c r="W205" s="55"/>
      <c r="X205"/>
      <c r="Y205"/>
      <c r="Z205"/>
      <c r="AA205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38"/>
      <c r="AW205" s="38"/>
      <c r="AX205" s="38"/>
      <c r="AY205" s="38"/>
      <c r="AZ205" s="6" t="s">
        <v>57</v>
      </c>
      <c r="BA205" s="38"/>
      <c r="BB205" s="6"/>
      <c r="BC205" s="6"/>
      <c r="BD205" s="6"/>
      <c r="BE205" s="6"/>
      <c r="BF205" s="6"/>
      <c r="BG205" s="6"/>
      <c r="BH205" s="6"/>
      <c r="BI205" s="6"/>
      <c r="BJ205" s="6"/>
      <c r="BK205" s="6"/>
    </row>
    <row r="206" spans="1:63" s="19" customFormat="1" ht="34.5" x14ac:dyDescent="0.25">
      <c r="A206" s="52"/>
      <c r="B206" s="53" t="s">
        <v>225</v>
      </c>
      <c r="C206" s="104" t="s">
        <v>226</v>
      </c>
      <c r="D206" s="104"/>
      <c r="E206" s="104"/>
      <c r="F206" s="104"/>
      <c r="G206" s="104"/>
      <c r="H206" s="54" t="s">
        <v>60</v>
      </c>
      <c r="I206" s="58">
        <v>103</v>
      </c>
      <c r="J206" s="55"/>
      <c r="K206" s="58">
        <v>103</v>
      </c>
      <c r="L206" s="56"/>
      <c r="M206" s="55"/>
      <c r="N206" s="56"/>
      <c r="O206" s="55"/>
      <c r="P206" s="77"/>
      <c r="Q206"/>
      <c r="R206"/>
      <c r="S206"/>
      <c r="T206">
        <f>T290</f>
        <v>0</v>
      </c>
      <c r="U206" s="57">
        <v>14803.8</v>
      </c>
      <c r="V206"/>
      <c r="W206" s="58">
        <v>103</v>
      </c>
      <c r="X206"/>
      <c r="Y206"/>
      <c r="Z206"/>
      <c r="AA20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38"/>
      <c r="AW206" s="38"/>
      <c r="AX206" s="38"/>
      <c r="AY206" s="38"/>
      <c r="AZ206" s="6" t="s">
        <v>226</v>
      </c>
      <c r="BA206" s="38"/>
      <c r="BB206" s="6"/>
      <c r="BC206" s="6"/>
      <c r="BD206" s="6"/>
      <c r="BE206" s="6"/>
      <c r="BF206" s="6"/>
      <c r="BG206" s="6"/>
      <c r="BH206" s="6"/>
      <c r="BI206" s="6"/>
      <c r="BJ206" s="6"/>
      <c r="BK206" s="6"/>
    </row>
    <row r="207" spans="1:63" s="19" customFormat="1" ht="34.5" x14ac:dyDescent="0.25">
      <c r="A207" s="52"/>
      <c r="B207" s="53" t="s">
        <v>227</v>
      </c>
      <c r="C207" s="104" t="s">
        <v>228</v>
      </c>
      <c r="D207" s="104"/>
      <c r="E207" s="104"/>
      <c r="F207" s="104"/>
      <c r="G207" s="104"/>
      <c r="H207" s="54" t="s">
        <v>60</v>
      </c>
      <c r="I207" s="58">
        <v>52</v>
      </c>
      <c r="J207" s="55"/>
      <c r="K207" s="58">
        <v>52</v>
      </c>
      <c r="L207" s="56"/>
      <c r="M207" s="55"/>
      <c r="N207" s="56"/>
      <c r="O207" s="55"/>
      <c r="P207" s="77">
        <v>8594.8239999999987</v>
      </c>
      <c r="Q207"/>
      <c r="R207"/>
      <c r="S207"/>
      <c r="T207">
        <f>T290</f>
        <v>0</v>
      </c>
      <c r="U207" s="57">
        <v>7473.76</v>
      </c>
      <c r="V207"/>
      <c r="W207" s="58">
        <v>52</v>
      </c>
      <c r="X207"/>
      <c r="Y207"/>
      <c r="Z207"/>
      <c r="AA207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38"/>
      <c r="AW207" s="38"/>
      <c r="AX207" s="38"/>
      <c r="AY207" s="38"/>
      <c r="AZ207" s="6" t="s">
        <v>228</v>
      </c>
      <c r="BA207" s="38"/>
      <c r="BB207" s="6"/>
      <c r="BC207" s="6"/>
      <c r="BD207" s="6"/>
      <c r="BE207" s="6"/>
      <c r="BF207" s="6"/>
      <c r="BG207" s="6"/>
      <c r="BH207" s="6"/>
      <c r="BI207" s="6"/>
      <c r="BJ207" s="6"/>
      <c r="BK207" s="6"/>
    </row>
    <row r="208" spans="1:63" s="19" customFormat="1" ht="15" x14ac:dyDescent="0.25">
      <c r="A208" s="59"/>
      <c r="B208" s="60"/>
      <c r="C208" s="102" t="s">
        <v>63</v>
      </c>
      <c r="D208" s="102"/>
      <c r="E208" s="102"/>
      <c r="F208" s="102"/>
      <c r="G208" s="102"/>
      <c r="H208" s="41"/>
      <c r="I208" s="42"/>
      <c r="J208" s="42"/>
      <c r="K208" s="42"/>
      <c r="L208" s="45"/>
      <c r="M208" s="42"/>
      <c r="N208" s="49">
        <v>1837308.5</v>
      </c>
      <c r="O208" s="42"/>
      <c r="P208" s="50">
        <v>10884.599999999999</v>
      </c>
      <c r="Q208"/>
      <c r="R208"/>
      <c r="S208"/>
      <c r="T208">
        <f>T290</f>
        <v>0</v>
      </c>
      <c r="U208" s="50">
        <f>10884.6*(K203/W203)</f>
        <v>10884.6</v>
      </c>
      <c r="V208"/>
      <c r="W208" s="42"/>
      <c r="X208"/>
      <c r="Y208"/>
      <c r="Z208"/>
      <c r="AA208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38"/>
      <c r="AW208" s="38"/>
      <c r="AX208" s="38"/>
      <c r="AY208" s="38"/>
      <c r="AZ208" s="6"/>
      <c r="BA208" s="38" t="s">
        <v>63</v>
      </c>
      <c r="BB208" s="6"/>
      <c r="BC208" s="6"/>
      <c r="BD208" s="6"/>
      <c r="BE208" s="6"/>
      <c r="BF208" s="6"/>
      <c r="BG208" s="6"/>
      <c r="BH208" s="6"/>
      <c r="BI208" s="6"/>
      <c r="BJ208" s="6"/>
      <c r="BK208" s="6"/>
    </row>
    <row r="209" spans="1:63" s="19" customFormat="1" ht="23.25" x14ac:dyDescent="0.25">
      <c r="A209" s="39" t="s">
        <v>229</v>
      </c>
      <c r="B209" s="40" t="s">
        <v>230</v>
      </c>
      <c r="C209" s="105" t="s">
        <v>310</v>
      </c>
      <c r="D209" s="105"/>
      <c r="E209" s="105"/>
      <c r="F209" s="105"/>
      <c r="G209" s="105"/>
      <c r="H209" s="41" t="s">
        <v>222</v>
      </c>
      <c r="I209" s="42">
        <v>3</v>
      </c>
      <c r="J209" s="43">
        <v>1</v>
      </c>
      <c r="K209" s="43">
        <v>3</v>
      </c>
      <c r="L209" s="49">
        <v>3432.22</v>
      </c>
      <c r="M209" s="67">
        <v>1.3</v>
      </c>
      <c r="N209" s="49">
        <v>4461.8900000000003</v>
      </c>
      <c r="O209" s="42"/>
      <c r="P209" s="50">
        <f>15393.5205+7500</f>
        <v>22893.520499999999</v>
      </c>
      <c r="Q209"/>
      <c r="R209"/>
      <c r="S209"/>
      <c r="T209">
        <f>T290</f>
        <v>0</v>
      </c>
      <c r="U209" s="50">
        <f>U210</f>
        <v>13385.670000000002</v>
      </c>
      <c r="V209"/>
      <c r="W209" s="43">
        <v>2</v>
      </c>
      <c r="X209"/>
      <c r="Y209"/>
      <c r="Z209"/>
      <c r="AA209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38"/>
      <c r="AW209" s="38"/>
      <c r="AX209" s="38" t="s">
        <v>231</v>
      </c>
      <c r="AY209" s="38"/>
      <c r="AZ209" s="6"/>
      <c r="BA209" s="38"/>
      <c r="BB209" s="6"/>
      <c r="BC209" s="6"/>
      <c r="BD209" s="6"/>
      <c r="BE209" s="6"/>
      <c r="BF209" s="6"/>
      <c r="BG209" s="6"/>
      <c r="BH209" s="6"/>
      <c r="BI209" s="6"/>
      <c r="BJ209" s="6"/>
      <c r="BK209" s="6"/>
    </row>
    <row r="210" spans="1:63" s="19" customFormat="1" ht="15" x14ac:dyDescent="0.25">
      <c r="A210" s="59"/>
      <c r="B210" s="60"/>
      <c r="C210" s="106" t="s">
        <v>63</v>
      </c>
      <c r="D210" s="106"/>
      <c r="E210" s="106"/>
      <c r="F210" s="106"/>
      <c r="G210" s="106"/>
      <c r="H210" s="41"/>
      <c r="I210" s="42"/>
      <c r="J210" s="42"/>
      <c r="K210" s="42"/>
      <c r="L210" s="45"/>
      <c r="M210" s="42"/>
      <c r="N210" s="45"/>
      <c r="O210" s="42"/>
      <c r="P210" s="50">
        <f>P209</f>
        <v>22893.520499999999</v>
      </c>
      <c r="Q210"/>
      <c r="R210"/>
      <c r="S210"/>
      <c r="T210">
        <f>T290</f>
        <v>0</v>
      </c>
      <c r="U210" s="50">
        <f>8923.78*(K209/W209)</f>
        <v>13385.670000000002</v>
      </c>
      <c r="V210"/>
      <c r="W210" s="42"/>
      <c r="X210"/>
      <c r="Y210"/>
      <c r="Z210"/>
      <c r="AA210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38"/>
      <c r="AW210" s="38"/>
      <c r="AX210" s="38"/>
      <c r="AY210" s="38"/>
      <c r="AZ210" s="6"/>
      <c r="BA210" s="38" t="s">
        <v>63</v>
      </c>
      <c r="BB210" s="6"/>
      <c r="BC210" s="6"/>
      <c r="BD210" s="6"/>
      <c r="BE210" s="6"/>
      <c r="BF210" s="6"/>
      <c r="BG210" s="6"/>
      <c r="BH210" s="6"/>
      <c r="BI210" s="6"/>
      <c r="BJ210" s="6"/>
      <c r="BK210" s="6"/>
    </row>
    <row r="211" spans="1:63" s="19" customFormat="1" ht="15" x14ac:dyDescent="0.25">
      <c r="A211" s="39" t="s">
        <v>232</v>
      </c>
      <c r="B211" s="40" t="s">
        <v>233</v>
      </c>
      <c r="C211" s="103" t="s">
        <v>234</v>
      </c>
      <c r="D211" s="103"/>
      <c r="E211" s="103"/>
      <c r="F211" s="103"/>
      <c r="G211" s="103"/>
      <c r="H211" s="41" t="s">
        <v>75</v>
      </c>
      <c r="I211" s="42">
        <v>0.03</v>
      </c>
      <c r="J211" s="43">
        <v>1</v>
      </c>
      <c r="K211" s="62">
        <v>0.03</v>
      </c>
      <c r="L211" s="45"/>
      <c r="M211" s="42"/>
      <c r="N211" s="45"/>
      <c r="O211" s="42"/>
      <c r="P211" s="50"/>
      <c r="Q211"/>
      <c r="R211"/>
      <c r="S211"/>
      <c r="T211"/>
      <c r="U211" s="46"/>
      <c r="V211"/>
      <c r="W211" s="62">
        <v>0.02</v>
      </c>
      <c r="X211"/>
      <c r="Y211"/>
      <c r="Z211"/>
      <c r="AA211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38"/>
      <c r="AW211" s="38"/>
      <c r="AX211" s="38" t="s">
        <v>234</v>
      </c>
      <c r="AY211" s="38"/>
      <c r="AZ211" s="6"/>
      <c r="BA211" s="38"/>
      <c r="BB211" s="6"/>
      <c r="BC211" s="6"/>
      <c r="BD211" s="6"/>
      <c r="BE211" s="6"/>
      <c r="BF211" s="6"/>
      <c r="BG211" s="6"/>
      <c r="BH211" s="6"/>
      <c r="BI211" s="6"/>
      <c r="BJ211" s="6"/>
      <c r="BK211" s="6"/>
    </row>
    <row r="212" spans="1:63" s="19" customFormat="1" ht="15" x14ac:dyDescent="0.25">
      <c r="A212" s="47"/>
      <c r="B212" s="48"/>
      <c r="C212" s="102" t="s">
        <v>56</v>
      </c>
      <c r="D212" s="102"/>
      <c r="E212" s="102"/>
      <c r="F212" s="102"/>
      <c r="G212" s="102"/>
      <c r="H212" s="41"/>
      <c r="I212" s="42"/>
      <c r="J212" s="42"/>
      <c r="K212" s="42"/>
      <c r="L212" s="45"/>
      <c r="M212" s="42"/>
      <c r="N212" s="49"/>
      <c r="O212" s="42"/>
      <c r="P212" s="50">
        <v>951.78599999999994</v>
      </c>
      <c r="Q212" s="51"/>
      <c r="R212" s="51"/>
      <c r="S212"/>
      <c r="T212">
        <f>T290</f>
        <v>0</v>
      </c>
      <c r="U212" s="50">
        <v>827.64</v>
      </c>
      <c r="V212"/>
      <c r="W212" s="42"/>
      <c r="X212"/>
      <c r="Y212"/>
      <c r="Z212"/>
      <c r="AA212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38"/>
      <c r="AW212" s="38"/>
      <c r="AX212" s="38"/>
      <c r="AY212" s="38" t="s">
        <v>56</v>
      </c>
      <c r="AZ212" s="6"/>
      <c r="BA212" s="38"/>
      <c r="BB212" s="6"/>
      <c r="BC212" s="6"/>
      <c r="BD212" s="6"/>
      <c r="BE212" s="6"/>
      <c r="BF212" s="6"/>
      <c r="BG212" s="6"/>
      <c r="BH212" s="6"/>
      <c r="BI212" s="6"/>
      <c r="BJ212" s="6"/>
      <c r="BK212" s="6"/>
    </row>
    <row r="213" spans="1:63" s="19" customFormat="1" ht="15" x14ac:dyDescent="0.25">
      <c r="A213" s="52"/>
      <c r="B213" s="53"/>
      <c r="C213" s="104" t="s">
        <v>57</v>
      </c>
      <c r="D213" s="104"/>
      <c r="E213" s="104"/>
      <c r="F213" s="104"/>
      <c r="G213" s="104"/>
      <c r="H213" s="54"/>
      <c r="I213" s="55"/>
      <c r="J213" s="55"/>
      <c r="K213" s="55"/>
      <c r="L213" s="56"/>
      <c r="M213" s="55"/>
      <c r="N213" s="56"/>
      <c r="O213" s="55"/>
      <c r="P213" s="77">
        <v>652.09599999999989</v>
      </c>
      <c r="Q213"/>
      <c r="R213"/>
      <c r="S213"/>
      <c r="T213">
        <f>T290</f>
        <v>0</v>
      </c>
      <c r="U213" s="65">
        <v>567.04</v>
      </c>
      <c r="V213"/>
      <c r="W213" s="55"/>
      <c r="X213"/>
      <c r="Y213"/>
      <c r="Z213"/>
      <c r="AA213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38"/>
      <c r="AW213" s="38"/>
      <c r="AX213" s="38"/>
      <c r="AY213" s="38"/>
      <c r="AZ213" s="6" t="s">
        <v>57</v>
      </c>
      <c r="BA213" s="38"/>
      <c r="BB213" s="6"/>
      <c r="BC213" s="6"/>
      <c r="BD213" s="6"/>
      <c r="BE213" s="6"/>
      <c r="BF213" s="6"/>
      <c r="BG213" s="6"/>
      <c r="BH213" s="6"/>
      <c r="BI213" s="6"/>
      <c r="BJ213" s="6"/>
      <c r="BK213" s="6"/>
    </row>
    <row r="214" spans="1:63" s="19" customFormat="1" ht="34.5" x14ac:dyDescent="0.25">
      <c r="A214" s="52"/>
      <c r="B214" s="53" t="s">
        <v>225</v>
      </c>
      <c r="C214" s="104" t="s">
        <v>226</v>
      </c>
      <c r="D214" s="104"/>
      <c r="E214" s="104"/>
      <c r="F214" s="104"/>
      <c r="G214" s="104"/>
      <c r="H214" s="54" t="s">
        <v>60</v>
      </c>
      <c r="I214" s="58">
        <v>103</v>
      </c>
      <c r="J214" s="55"/>
      <c r="K214" s="58">
        <v>103</v>
      </c>
      <c r="L214" s="56"/>
      <c r="M214" s="55"/>
      <c r="N214" s="56"/>
      <c r="O214" s="55"/>
      <c r="P214" s="77">
        <v>671.65749999999991</v>
      </c>
      <c r="Q214"/>
      <c r="R214"/>
      <c r="S214"/>
      <c r="T214">
        <f>T290</f>
        <v>0</v>
      </c>
      <c r="U214" s="65">
        <v>584.04999999999995</v>
      </c>
      <c r="V214"/>
      <c r="W214" s="58">
        <v>103</v>
      </c>
      <c r="X214"/>
      <c r="Y214"/>
      <c r="Z214"/>
      <c r="AA214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38"/>
      <c r="AW214" s="38"/>
      <c r="AX214" s="38"/>
      <c r="AY214" s="38"/>
      <c r="AZ214" s="6" t="s">
        <v>226</v>
      </c>
      <c r="BA214" s="38"/>
      <c r="BB214" s="6"/>
      <c r="BC214" s="6"/>
      <c r="BD214" s="6"/>
      <c r="BE214" s="6"/>
      <c r="BF214" s="6"/>
      <c r="BG214" s="6"/>
      <c r="BH214" s="6"/>
      <c r="BI214" s="6"/>
      <c r="BJ214" s="6"/>
      <c r="BK214" s="6"/>
    </row>
    <row r="215" spans="1:63" s="19" customFormat="1" ht="34.5" x14ac:dyDescent="0.25">
      <c r="A215" s="52"/>
      <c r="B215" s="53" t="s">
        <v>227</v>
      </c>
      <c r="C215" s="104" t="s">
        <v>228</v>
      </c>
      <c r="D215" s="104"/>
      <c r="E215" s="104"/>
      <c r="F215" s="104"/>
      <c r="G215" s="104"/>
      <c r="H215" s="54" t="s">
        <v>60</v>
      </c>
      <c r="I215" s="58">
        <v>52</v>
      </c>
      <c r="J215" s="55"/>
      <c r="K215" s="58">
        <v>52</v>
      </c>
      <c r="L215" s="56"/>
      <c r="M215" s="55"/>
      <c r="N215" s="56"/>
      <c r="O215" s="55"/>
      <c r="P215" s="77">
        <v>339.089</v>
      </c>
      <c r="Q215"/>
      <c r="R215"/>
      <c r="S215"/>
      <c r="T215">
        <f>T290</f>
        <v>0</v>
      </c>
      <c r="U215" s="65">
        <v>294.86</v>
      </c>
      <c r="V215"/>
      <c r="W215" s="58">
        <v>52</v>
      </c>
      <c r="X215"/>
      <c r="Y215"/>
      <c r="Z215"/>
      <c r="AA215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38"/>
      <c r="AW215" s="38"/>
      <c r="AX215" s="38"/>
      <c r="AY215" s="38"/>
      <c r="AZ215" s="6" t="s">
        <v>228</v>
      </c>
      <c r="BA215" s="38"/>
      <c r="BB215" s="6"/>
      <c r="BC215" s="6"/>
      <c r="BD215" s="6"/>
      <c r="BE215" s="6"/>
      <c r="BF215" s="6"/>
      <c r="BG215" s="6"/>
      <c r="BH215" s="6"/>
      <c r="BI215" s="6"/>
      <c r="BJ215" s="6"/>
      <c r="BK215" s="6"/>
    </row>
    <row r="216" spans="1:63" s="19" customFormat="1" ht="15" x14ac:dyDescent="0.25">
      <c r="A216" s="59"/>
      <c r="B216" s="60"/>
      <c r="C216" s="102" t="s">
        <v>63</v>
      </c>
      <c r="D216" s="102"/>
      <c r="E216" s="102"/>
      <c r="F216" s="102"/>
      <c r="G216" s="102"/>
      <c r="H216" s="41"/>
      <c r="I216" s="42"/>
      <c r="J216" s="42"/>
      <c r="K216" s="42"/>
      <c r="L216" s="45"/>
      <c r="M216" s="42"/>
      <c r="N216" s="49">
        <v>85327.5</v>
      </c>
      <c r="O216" s="42"/>
      <c r="P216" s="50">
        <f>2943.79875+1940.78</f>
        <v>4884.5787499999997</v>
      </c>
      <c r="Q216"/>
      <c r="R216"/>
      <c r="S216"/>
      <c r="T216">
        <f>T290</f>
        <v>0</v>
      </c>
      <c r="U216" s="50">
        <f>1706.55*(K211/W211)</f>
        <v>2559.8249999999998</v>
      </c>
      <c r="V216"/>
      <c r="W216" s="42"/>
      <c r="X216"/>
      <c r="Y216"/>
      <c r="Z216"/>
      <c r="AA21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38"/>
      <c r="AW216" s="38"/>
      <c r="AX216" s="38"/>
      <c r="AY216" s="38"/>
      <c r="AZ216" s="6"/>
      <c r="BA216" s="38" t="s">
        <v>63</v>
      </c>
      <c r="BB216" s="6"/>
      <c r="BC216" s="6"/>
      <c r="BD216" s="6"/>
      <c r="BE216" s="6"/>
      <c r="BF216" s="6"/>
      <c r="BG216" s="6"/>
      <c r="BH216" s="6"/>
      <c r="BI216" s="6"/>
      <c r="BJ216" s="6"/>
      <c r="BK216" s="6"/>
    </row>
    <row r="217" spans="1:63" s="19" customFormat="1" ht="23.25" x14ac:dyDescent="0.25">
      <c r="A217" s="39" t="s">
        <v>235</v>
      </c>
      <c r="B217" s="40" t="s">
        <v>236</v>
      </c>
      <c r="C217" s="103" t="s">
        <v>237</v>
      </c>
      <c r="D217" s="103"/>
      <c r="E217" s="103"/>
      <c r="F217" s="103"/>
      <c r="G217" s="103"/>
      <c r="H217" s="41" t="s">
        <v>222</v>
      </c>
      <c r="I217" s="42">
        <v>3</v>
      </c>
      <c r="J217" s="43">
        <v>1</v>
      </c>
      <c r="K217" s="43">
        <v>3</v>
      </c>
      <c r="L217" s="61">
        <v>237.33</v>
      </c>
      <c r="M217" s="62">
        <v>1.1299999999999999</v>
      </c>
      <c r="N217" s="61">
        <v>268.18</v>
      </c>
      <c r="O217" s="42"/>
      <c r="P217" s="50">
        <v>925.22099999999989</v>
      </c>
      <c r="Q217"/>
      <c r="R217"/>
      <c r="S217"/>
      <c r="T217">
        <f>T290</f>
        <v>0</v>
      </c>
      <c r="U217" s="63">
        <f>U218</f>
        <v>804.54</v>
      </c>
      <c r="V217"/>
      <c r="W217" s="43">
        <v>2</v>
      </c>
      <c r="X217"/>
      <c r="Y217"/>
      <c r="Z217"/>
      <c r="AA217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38"/>
      <c r="AW217" s="38"/>
      <c r="AX217" s="38" t="s">
        <v>237</v>
      </c>
      <c r="AY217" s="38"/>
      <c r="AZ217" s="6"/>
      <c r="BA217" s="38"/>
      <c r="BB217" s="6"/>
      <c r="BC217" s="6"/>
      <c r="BD217" s="6"/>
      <c r="BE217" s="6"/>
      <c r="BF217" s="6"/>
      <c r="BG217" s="6"/>
      <c r="BH217" s="6"/>
      <c r="BI217" s="6"/>
      <c r="BJ217" s="6"/>
      <c r="BK217" s="6"/>
    </row>
    <row r="218" spans="1:63" s="19" customFormat="1" ht="15" x14ac:dyDescent="0.25">
      <c r="A218" s="59"/>
      <c r="B218" s="60"/>
      <c r="C218" s="102" t="s">
        <v>63</v>
      </c>
      <c r="D218" s="102"/>
      <c r="E218" s="102"/>
      <c r="F218" s="102"/>
      <c r="G218" s="102"/>
      <c r="H218" s="41"/>
      <c r="I218" s="42"/>
      <c r="J218" s="42"/>
      <c r="K218" s="42"/>
      <c r="L218" s="45"/>
      <c r="M218" s="42"/>
      <c r="N218" s="45"/>
      <c r="O218" s="42"/>
      <c r="P218" s="50">
        <v>925.22099999999989</v>
      </c>
      <c r="Q218"/>
      <c r="R218"/>
      <c r="S218"/>
      <c r="T218">
        <f>T290</f>
        <v>0</v>
      </c>
      <c r="U218" s="63">
        <f>536.36*(K217/W217)</f>
        <v>804.54</v>
      </c>
      <c r="V218"/>
      <c r="W218" s="42"/>
      <c r="X218"/>
      <c r="Y218"/>
      <c r="Z218"/>
      <c r="AA218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38"/>
      <c r="AW218" s="38"/>
      <c r="AX218" s="38"/>
      <c r="AY218" s="38"/>
      <c r="AZ218" s="6"/>
      <c r="BA218" s="38" t="s">
        <v>63</v>
      </c>
      <c r="BB218" s="6"/>
      <c r="BC218" s="6"/>
      <c r="BD218" s="6"/>
      <c r="BE218" s="6"/>
      <c r="BF218" s="6"/>
      <c r="BG218" s="6"/>
      <c r="BH218" s="6"/>
      <c r="BI218" s="6"/>
      <c r="BJ218" s="6"/>
      <c r="BK218" s="6"/>
    </row>
    <row r="219" spans="1:63" s="19" customFormat="1" ht="23.25" x14ac:dyDescent="0.25">
      <c r="A219" s="39" t="s">
        <v>238</v>
      </c>
      <c r="B219" s="40" t="s">
        <v>239</v>
      </c>
      <c r="C219" s="103" t="s">
        <v>240</v>
      </c>
      <c r="D219" s="103"/>
      <c r="E219" s="103"/>
      <c r="F219" s="103"/>
      <c r="G219" s="103"/>
      <c r="H219" s="41" t="s">
        <v>125</v>
      </c>
      <c r="I219" s="42">
        <v>0.02</v>
      </c>
      <c r="J219" s="43">
        <v>1</v>
      </c>
      <c r="K219" s="62">
        <v>0.02</v>
      </c>
      <c r="L219" s="45"/>
      <c r="M219" s="42"/>
      <c r="N219" s="45"/>
      <c r="O219" s="42"/>
      <c r="P219" s="50"/>
      <c r="Q219"/>
      <c r="R219"/>
      <c r="S219"/>
      <c r="T219"/>
      <c r="U219" s="46"/>
      <c r="V219"/>
      <c r="W219" s="62">
        <v>0.02</v>
      </c>
      <c r="X219"/>
      <c r="Y219"/>
      <c r="Z219"/>
      <c r="AA219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38"/>
      <c r="AW219" s="38"/>
      <c r="AX219" s="38" t="s">
        <v>240</v>
      </c>
      <c r="AY219" s="38"/>
      <c r="AZ219" s="6"/>
      <c r="BA219" s="38"/>
      <c r="BB219" s="6"/>
      <c r="BC219" s="6"/>
      <c r="BD219" s="6"/>
      <c r="BE219" s="6"/>
      <c r="BF219" s="6"/>
      <c r="BG219" s="6"/>
      <c r="BH219" s="6"/>
      <c r="BI219" s="6"/>
      <c r="BJ219" s="6"/>
      <c r="BK219" s="6"/>
    </row>
    <row r="220" spans="1:63" s="19" customFormat="1" ht="15" x14ac:dyDescent="0.25">
      <c r="A220" s="47"/>
      <c r="B220" s="48"/>
      <c r="C220" s="102" t="s">
        <v>56</v>
      </c>
      <c r="D220" s="102"/>
      <c r="E220" s="102"/>
      <c r="F220" s="102"/>
      <c r="G220" s="102"/>
      <c r="H220" s="41"/>
      <c r="I220" s="42"/>
      <c r="J220" s="42"/>
      <c r="K220" s="42"/>
      <c r="L220" s="45"/>
      <c r="M220" s="42"/>
      <c r="N220" s="49"/>
      <c r="O220" s="42"/>
      <c r="P220" s="50">
        <v>559.98099999999999</v>
      </c>
      <c r="Q220" s="51"/>
      <c r="R220" s="51"/>
      <c r="S220"/>
      <c r="T220">
        <f>T290</f>
        <v>0</v>
      </c>
      <c r="U220" s="50">
        <v>486.94</v>
      </c>
      <c r="V220"/>
      <c r="W220" s="42"/>
      <c r="X220"/>
      <c r="Y220"/>
      <c r="Z220"/>
      <c r="AA220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38"/>
      <c r="AW220" s="38"/>
      <c r="AX220" s="38"/>
      <c r="AY220" s="38" t="s">
        <v>56</v>
      </c>
      <c r="AZ220" s="6"/>
      <c r="BA220" s="38"/>
      <c r="BB220" s="6"/>
      <c r="BC220" s="6"/>
      <c r="BD220" s="6"/>
      <c r="BE220" s="6"/>
      <c r="BF220" s="6"/>
      <c r="BG220" s="6"/>
      <c r="BH220" s="6"/>
      <c r="BI220" s="6"/>
      <c r="BJ220" s="6"/>
      <c r="BK220" s="6"/>
    </row>
    <row r="221" spans="1:63" s="19" customFormat="1" ht="15" x14ac:dyDescent="0.25">
      <c r="A221" s="52"/>
      <c r="B221" s="53"/>
      <c r="C221" s="104" t="s">
        <v>57</v>
      </c>
      <c r="D221" s="104"/>
      <c r="E221" s="104"/>
      <c r="F221" s="104"/>
      <c r="G221" s="104"/>
      <c r="H221" s="54"/>
      <c r="I221" s="55"/>
      <c r="J221" s="55"/>
      <c r="K221" s="55"/>
      <c r="L221" s="56"/>
      <c r="M221" s="55"/>
      <c r="N221" s="56"/>
      <c r="O221" s="55"/>
      <c r="P221" s="77">
        <v>549.83799999999997</v>
      </c>
      <c r="Q221"/>
      <c r="R221"/>
      <c r="S221"/>
      <c r="T221">
        <f>T290</f>
        <v>0</v>
      </c>
      <c r="U221" s="65">
        <v>478.12</v>
      </c>
      <c r="V221"/>
      <c r="W221" s="55"/>
      <c r="X221"/>
      <c r="Y221"/>
      <c r="Z221"/>
      <c r="AA221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38"/>
      <c r="AW221" s="38"/>
      <c r="AX221" s="38"/>
      <c r="AY221" s="38"/>
      <c r="AZ221" s="6" t="s">
        <v>57</v>
      </c>
      <c r="BA221" s="38"/>
      <c r="BB221" s="6"/>
      <c r="BC221" s="6"/>
      <c r="BD221" s="6"/>
      <c r="BE221" s="6"/>
      <c r="BF221" s="6"/>
      <c r="BG221" s="6"/>
      <c r="BH221" s="6"/>
      <c r="BI221" s="6"/>
      <c r="BJ221" s="6"/>
      <c r="BK221" s="6"/>
    </row>
    <row r="222" spans="1:63" s="19" customFormat="1" ht="34.5" x14ac:dyDescent="0.25">
      <c r="A222" s="52"/>
      <c r="B222" s="53" t="s">
        <v>215</v>
      </c>
      <c r="C222" s="104" t="s">
        <v>216</v>
      </c>
      <c r="D222" s="104"/>
      <c r="E222" s="104"/>
      <c r="F222" s="104"/>
      <c r="G222" s="104"/>
      <c r="H222" s="54" t="s">
        <v>60</v>
      </c>
      <c r="I222" s="58">
        <v>121</v>
      </c>
      <c r="J222" s="55"/>
      <c r="K222" s="58">
        <v>121</v>
      </c>
      <c r="L222" s="56"/>
      <c r="M222" s="55"/>
      <c r="N222" s="56"/>
      <c r="O222" s="55"/>
      <c r="P222" s="77">
        <v>665.30949999999996</v>
      </c>
      <c r="Q222"/>
      <c r="R222"/>
      <c r="S222"/>
      <c r="T222">
        <f>T290</f>
        <v>0</v>
      </c>
      <c r="U222" s="65">
        <v>578.53</v>
      </c>
      <c r="V222"/>
      <c r="W222" s="58">
        <v>121</v>
      </c>
      <c r="X222"/>
      <c r="Y222"/>
      <c r="Z222"/>
      <c r="AA222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38"/>
      <c r="AW222" s="38"/>
      <c r="AX222" s="38"/>
      <c r="AY222" s="38"/>
      <c r="AZ222" s="6" t="s">
        <v>216</v>
      </c>
      <c r="BA222" s="38"/>
      <c r="BB222" s="6"/>
      <c r="BC222" s="6"/>
      <c r="BD222" s="6"/>
      <c r="BE222" s="6"/>
      <c r="BF222" s="6"/>
      <c r="BG222" s="6"/>
      <c r="BH222" s="6"/>
      <c r="BI222" s="6"/>
      <c r="BJ222" s="6"/>
      <c r="BK222" s="6"/>
    </row>
    <row r="223" spans="1:63" s="19" customFormat="1" ht="34.5" x14ac:dyDescent="0.25">
      <c r="A223" s="52"/>
      <c r="B223" s="53" t="s">
        <v>217</v>
      </c>
      <c r="C223" s="104" t="s">
        <v>218</v>
      </c>
      <c r="D223" s="104"/>
      <c r="E223" s="104"/>
      <c r="F223" s="104"/>
      <c r="G223" s="104"/>
      <c r="H223" s="54" t="s">
        <v>60</v>
      </c>
      <c r="I223" s="58">
        <v>72</v>
      </c>
      <c r="J223" s="55"/>
      <c r="K223" s="58">
        <v>72</v>
      </c>
      <c r="L223" s="56"/>
      <c r="M223" s="55"/>
      <c r="N223" s="56"/>
      <c r="O223" s="55"/>
      <c r="P223" s="77">
        <v>395.88749999999999</v>
      </c>
      <c r="Q223"/>
      <c r="R223"/>
      <c r="S223"/>
      <c r="T223">
        <f>T290</f>
        <v>0</v>
      </c>
      <c r="U223" s="65">
        <v>344.25</v>
      </c>
      <c r="V223"/>
      <c r="W223" s="58">
        <v>72</v>
      </c>
      <c r="X223"/>
      <c r="Y223"/>
      <c r="Z223"/>
      <c r="AA223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38"/>
      <c r="AW223" s="38"/>
      <c r="AX223" s="38"/>
      <c r="AY223" s="38"/>
      <c r="AZ223" s="6" t="s">
        <v>218</v>
      </c>
      <c r="BA223" s="38"/>
      <c r="BB223" s="6"/>
      <c r="BC223" s="6"/>
      <c r="BD223" s="6"/>
      <c r="BE223" s="6"/>
      <c r="BF223" s="6"/>
      <c r="BG223" s="6"/>
      <c r="BH223" s="6"/>
      <c r="BI223" s="6"/>
      <c r="BJ223" s="6"/>
      <c r="BK223" s="6"/>
    </row>
    <row r="224" spans="1:63" s="19" customFormat="1" ht="15" x14ac:dyDescent="0.25">
      <c r="A224" s="59"/>
      <c r="B224" s="60"/>
      <c r="C224" s="102" t="s">
        <v>63</v>
      </c>
      <c r="D224" s="102"/>
      <c r="E224" s="102"/>
      <c r="F224" s="102"/>
      <c r="G224" s="102"/>
      <c r="H224" s="41"/>
      <c r="I224" s="42"/>
      <c r="J224" s="42"/>
      <c r="K224" s="42"/>
      <c r="L224" s="45"/>
      <c r="M224" s="42"/>
      <c r="N224" s="49">
        <v>70486</v>
      </c>
      <c r="O224" s="42"/>
      <c r="P224" s="50">
        <v>1621.1779999999999</v>
      </c>
      <c r="Q224"/>
      <c r="R224"/>
      <c r="S224"/>
      <c r="T224">
        <f>T290</f>
        <v>0</v>
      </c>
      <c r="U224" s="50">
        <f>1409.72*(K219/W219)</f>
        <v>1409.72</v>
      </c>
      <c r="V224"/>
      <c r="W224" s="42"/>
      <c r="X224"/>
      <c r="Y224"/>
      <c r="Z224"/>
      <c r="AA224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38"/>
      <c r="AW224" s="38"/>
      <c r="AX224" s="38"/>
      <c r="AY224" s="38"/>
      <c r="AZ224" s="6"/>
      <c r="BA224" s="38" t="s">
        <v>63</v>
      </c>
      <c r="BB224" s="6"/>
      <c r="BC224" s="6"/>
      <c r="BD224" s="6"/>
      <c r="BE224" s="6"/>
      <c r="BF224" s="6"/>
      <c r="BG224" s="6"/>
      <c r="BH224" s="6"/>
      <c r="BI224" s="6"/>
      <c r="BJ224" s="6"/>
      <c r="BK224" s="6"/>
    </row>
    <row r="225" spans="1:63" s="19" customFormat="1" ht="23.25" x14ac:dyDescent="0.25">
      <c r="A225" s="39" t="s">
        <v>241</v>
      </c>
      <c r="B225" s="40" t="s">
        <v>242</v>
      </c>
      <c r="C225" s="103" t="s">
        <v>243</v>
      </c>
      <c r="D225" s="103"/>
      <c r="E225" s="103"/>
      <c r="F225" s="103"/>
      <c r="G225" s="103"/>
      <c r="H225" s="41" t="s">
        <v>244</v>
      </c>
      <c r="I225" s="42">
        <v>1.996</v>
      </c>
      <c r="J225" s="43">
        <v>1</v>
      </c>
      <c r="K225" s="66">
        <v>1.996</v>
      </c>
      <c r="L225" s="61">
        <v>324.68</v>
      </c>
      <c r="M225" s="62">
        <v>1.01</v>
      </c>
      <c r="N225" s="61">
        <v>327.93</v>
      </c>
      <c r="O225" s="42"/>
      <c r="P225" s="50">
        <v>752.73249999999985</v>
      </c>
      <c r="Q225"/>
      <c r="R225"/>
      <c r="S225"/>
      <c r="T225">
        <f>T290</f>
        <v>0</v>
      </c>
      <c r="U225" s="63">
        <f>U226</f>
        <v>654.54999999999995</v>
      </c>
      <c r="V225"/>
      <c r="W225" s="66">
        <v>1.996</v>
      </c>
      <c r="X225"/>
      <c r="Y225"/>
      <c r="Z225"/>
      <c r="AA225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38"/>
      <c r="AW225" s="38"/>
      <c r="AX225" s="38" t="s">
        <v>243</v>
      </c>
      <c r="AY225" s="38"/>
      <c r="AZ225" s="6"/>
      <c r="BA225" s="38"/>
      <c r="BB225" s="6"/>
      <c r="BC225" s="6"/>
      <c r="BD225" s="6"/>
      <c r="BE225" s="6"/>
      <c r="BF225" s="6"/>
      <c r="BG225" s="6"/>
      <c r="BH225" s="6"/>
      <c r="BI225" s="6"/>
      <c r="BJ225" s="6"/>
      <c r="BK225" s="6"/>
    </row>
    <row r="226" spans="1:63" s="19" customFormat="1" ht="15" x14ac:dyDescent="0.25">
      <c r="A226" s="59"/>
      <c r="B226" s="60"/>
      <c r="C226" s="102" t="s">
        <v>63</v>
      </c>
      <c r="D226" s="102"/>
      <c r="E226" s="102"/>
      <c r="F226" s="102"/>
      <c r="G226" s="102"/>
      <c r="H226" s="41"/>
      <c r="I226" s="42"/>
      <c r="J226" s="42"/>
      <c r="K226" s="42"/>
      <c r="L226" s="45"/>
      <c r="M226" s="42"/>
      <c r="N226" s="45"/>
      <c r="O226" s="42"/>
      <c r="P226" s="50">
        <v>752.73249999999985</v>
      </c>
      <c r="Q226"/>
      <c r="R226"/>
      <c r="S226"/>
      <c r="T226">
        <f>T290</f>
        <v>0</v>
      </c>
      <c r="U226" s="63">
        <f>654.55*(K225/W225)</f>
        <v>654.54999999999995</v>
      </c>
      <c r="V226"/>
      <c r="W226" s="42"/>
      <c r="X226"/>
      <c r="Y226"/>
      <c r="Z226"/>
      <c r="AA22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38"/>
      <c r="AW226" s="38"/>
      <c r="AX226" s="38"/>
      <c r="AY226" s="38"/>
      <c r="AZ226" s="6"/>
      <c r="BA226" s="38" t="s">
        <v>63</v>
      </c>
      <c r="BB226" s="6"/>
      <c r="BC226" s="6"/>
      <c r="BD226" s="6"/>
      <c r="BE226" s="6"/>
      <c r="BF226" s="6"/>
      <c r="BG226" s="6"/>
      <c r="BH226" s="6"/>
      <c r="BI226" s="6"/>
      <c r="BJ226" s="6"/>
      <c r="BK226" s="6"/>
    </row>
    <row r="227" spans="1:63" s="19" customFormat="1" ht="23.25" x14ac:dyDescent="0.25">
      <c r="A227" s="39" t="s">
        <v>245</v>
      </c>
      <c r="B227" s="40" t="s">
        <v>246</v>
      </c>
      <c r="C227" s="103" t="s">
        <v>247</v>
      </c>
      <c r="D227" s="103"/>
      <c r="E227" s="103"/>
      <c r="F227" s="103"/>
      <c r="G227" s="103"/>
      <c r="H227" s="41" t="s">
        <v>83</v>
      </c>
      <c r="I227" s="42">
        <v>1</v>
      </c>
      <c r="J227" s="43">
        <v>1</v>
      </c>
      <c r="K227" s="43">
        <v>1</v>
      </c>
      <c r="L227" s="61">
        <v>111.78</v>
      </c>
      <c r="M227" s="62">
        <v>1.01</v>
      </c>
      <c r="N227" s="61">
        <v>112.9</v>
      </c>
      <c r="O227" s="42"/>
      <c r="P227" s="50">
        <v>129.83500000000001</v>
      </c>
      <c r="Q227"/>
      <c r="R227"/>
      <c r="S227"/>
      <c r="T227">
        <f>T290</f>
        <v>0</v>
      </c>
      <c r="U227" s="63">
        <f>U228</f>
        <v>112.9</v>
      </c>
      <c r="V227"/>
      <c r="W227" s="43">
        <v>1</v>
      </c>
      <c r="X227"/>
      <c r="Y227"/>
      <c r="Z227"/>
      <c r="AA227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38"/>
      <c r="AW227" s="38"/>
      <c r="AX227" s="38" t="s">
        <v>247</v>
      </c>
      <c r="AY227" s="38"/>
      <c r="AZ227" s="6"/>
      <c r="BA227" s="38"/>
      <c r="BB227" s="6"/>
      <c r="BC227" s="6"/>
      <c r="BD227" s="6"/>
      <c r="BE227" s="6"/>
      <c r="BF227" s="6"/>
      <c r="BG227" s="6"/>
      <c r="BH227" s="6"/>
      <c r="BI227" s="6"/>
      <c r="BJ227" s="6"/>
      <c r="BK227" s="6"/>
    </row>
    <row r="228" spans="1:63" s="19" customFormat="1" ht="15" x14ac:dyDescent="0.25">
      <c r="A228" s="59"/>
      <c r="B228" s="60"/>
      <c r="C228" s="102" t="s">
        <v>63</v>
      </c>
      <c r="D228" s="102"/>
      <c r="E228" s="102"/>
      <c r="F228" s="102"/>
      <c r="G228" s="102"/>
      <c r="H228" s="41"/>
      <c r="I228" s="42"/>
      <c r="J228" s="42"/>
      <c r="K228" s="42"/>
      <c r="L228" s="45"/>
      <c r="M228" s="42"/>
      <c r="N228" s="45"/>
      <c r="O228" s="42"/>
      <c r="P228" s="50">
        <v>129.83500000000001</v>
      </c>
      <c r="Q228"/>
      <c r="R228"/>
      <c r="S228"/>
      <c r="T228">
        <f>T290</f>
        <v>0</v>
      </c>
      <c r="U228" s="63">
        <f>112.9*(K227/W227)</f>
        <v>112.9</v>
      </c>
      <c r="V228"/>
      <c r="W228" s="42"/>
      <c r="X228"/>
      <c r="Y228"/>
      <c r="Z228"/>
      <c r="AA228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38"/>
      <c r="AW228" s="38"/>
      <c r="AX228" s="38"/>
      <c r="AY228" s="38"/>
      <c r="AZ228" s="6"/>
      <c r="BA228" s="38" t="s">
        <v>63</v>
      </c>
      <c r="BB228" s="6"/>
      <c r="BC228" s="6"/>
      <c r="BD228" s="6"/>
      <c r="BE228" s="6"/>
      <c r="BF228" s="6"/>
      <c r="BG228" s="6"/>
      <c r="BH228" s="6"/>
      <c r="BI228" s="6"/>
      <c r="BJ228" s="6"/>
      <c r="BK228" s="6"/>
    </row>
    <row r="229" spans="1:63" s="19" customFormat="1" ht="23.25" x14ac:dyDescent="0.25">
      <c r="A229" s="39" t="s">
        <v>248</v>
      </c>
      <c r="B229" s="40" t="s">
        <v>249</v>
      </c>
      <c r="C229" s="103" t="s">
        <v>250</v>
      </c>
      <c r="D229" s="103"/>
      <c r="E229" s="103"/>
      <c r="F229" s="103"/>
      <c r="G229" s="103"/>
      <c r="H229" s="41" t="s">
        <v>83</v>
      </c>
      <c r="I229" s="42">
        <v>1</v>
      </c>
      <c r="J229" s="43">
        <v>1</v>
      </c>
      <c r="K229" s="43">
        <v>1</v>
      </c>
      <c r="L229" s="61">
        <v>69.52</v>
      </c>
      <c r="M229" s="62">
        <v>1.01</v>
      </c>
      <c r="N229" s="61">
        <v>70.22</v>
      </c>
      <c r="O229" s="42"/>
      <c r="P229" s="50">
        <v>80.752999999999986</v>
      </c>
      <c r="Q229"/>
      <c r="R229"/>
      <c r="S229"/>
      <c r="T229">
        <f>T290</f>
        <v>0</v>
      </c>
      <c r="U229" s="63">
        <f>U230</f>
        <v>70.22</v>
      </c>
      <c r="V229"/>
      <c r="W229" s="43">
        <v>1</v>
      </c>
      <c r="X229"/>
      <c r="Y229"/>
      <c r="Z229"/>
      <c r="AA229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38"/>
      <c r="AW229" s="38"/>
      <c r="AX229" s="38" t="s">
        <v>250</v>
      </c>
      <c r="AY229" s="38"/>
      <c r="AZ229" s="6"/>
      <c r="BA229" s="38"/>
      <c r="BB229" s="6"/>
      <c r="BC229" s="6"/>
      <c r="BD229" s="6"/>
      <c r="BE229" s="6"/>
      <c r="BF229" s="6"/>
      <c r="BG229" s="6"/>
      <c r="BH229" s="6"/>
      <c r="BI229" s="6"/>
      <c r="BJ229" s="6"/>
      <c r="BK229" s="6"/>
    </row>
    <row r="230" spans="1:63" s="19" customFormat="1" ht="15" x14ac:dyDescent="0.25">
      <c r="A230" s="59"/>
      <c r="B230" s="60"/>
      <c r="C230" s="102" t="s">
        <v>63</v>
      </c>
      <c r="D230" s="102"/>
      <c r="E230" s="102"/>
      <c r="F230" s="102"/>
      <c r="G230" s="102"/>
      <c r="H230" s="41"/>
      <c r="I230" s="42"/>
      <c r="J230" s="42"/>
      <c r="K230" s="42"/>
      <c r="L230" s="45"/>
      <c r="M230" s="42"/>
      <c r="N230" s="45"/>
      <c r="O230" s="42"/>
      <c r="P230" s="50">
        <v>80.752999999999986</v>
      </c>
      <c r="Q230"/>
      <c r="R230"/>
      <c r="S230"/>
      <c r="T230">
        <f>T290</f>
        <v>0</v>
      </c>
      <c r="U230" s="63">
        <f>70.22*(K229/W229)</f>
        <v>70.22</v>
      </c>
      <c r="V230"/>
      <c r="W230" s="42"/>
      <c r="X230"/>
      <c r="Y230"/>
      <c r="Z230"/>
      <c r="AA230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38"/>
      <c r="AW230" s="38"/>
      <c r="AX230" s="38"/>
      <c r="AY230" s="38"/>
      <c r="AZ230" s="6"/>
      <c r="BA230" s="38" t="s">
        <v>63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</row>
    <row r="231" spans="1:63" s="19" customFormat="1" ht="23.25" x14ac:dyDescent="0.25">
      <c r="A231" s="39" t="s">
        <v>251</v>
      </c>
      <c r="B231" s="40" t="s">
        <v>252</v>
      </c>
      <c r="C231" s="103" t="s">
        <v>253</v>
      </c>
      <c r="D231" s="103"/>
      <c r="E231" s="103"/>
      <c r="F231" s="103"/>
      <c r="G231" s="103"/>
      <c r="H231" s="41" t="s">
        <v>125</v>
      </c>
      <c r="I231" s="42">
        <v>0.01</v>
      </c>
      <c r="J231" s="43">
        <v>1</v>
      </c>
      <c r="K231" s="62">
        <v>0.01</v>
      </c>
      <c r="L231" s="45"/>
      <c r="M231" s="42"/>
      <c r="N231" s="45"/>
      <c r="O231" s="42"/>
      <c r="P231" s="50">
        <v>0</v>
      </c>
      <c r="Q231"/>
      <c r="R231"/>
      <c r="S231"/>
      <c r="T231"/>
      <c r="U231" s="46"/>
      <c r="V231"/>
      <c r="W231" s="62">
        <v>0.01</v>
      </c>
      <c r="X231"/>
      <c r="Y231"/>
      <c r="Z231"/>
      <c r="AA231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38"/>
      <c r="AW231" s="38"/>
      <c r="AX231" s="38" t="s">
        <v>253</v>
      </c>
      <c r="AY231" s="38"/>
      <c r="AZ231" s="6"/>
      <c r="BA231" s="38"/>
      <c r="BB231" s="6"/>
      <c r="BC231" s="6"/>
      <c r="BD231" s="6"/>
      <c r="BE231" s="6"/>
      <c r="BF231" s="6"/>
      <c r="BG231" s="6"/>
      <c r="BH231" s="6"/>
      <c r="BI231" s="6"/>
      <c r="BJ231" s="6"/>
      <c r="BK231" s="6"/>
    </row>
    <row r="232" spans="1:63" s="19" customFormat="1" ht="15" x14ac:dyDescent="0.25">
      <c r="A232" s="47"/>
      <c r="B232" s="48"/>
      <c r="C232" s="102" t="s">
        <v>56</v>
      </c>
      <c r="D232" s="102"/>
      <c r="E232" s="102"/>
      <c r="F232" s="102"/>
      <c r="G232" s="102"/>
      <c r="H232" s="41"/>
      <c r="I232" s="42"/>
      <c r="J232" s="42"/>
      <c r="K232" s="42"/>
      <c r="L232" s="45"/>
      <c r="M232" s="42"/>
      <c r="N232" s="49"/>
      <c r="O232" s="42"/>
      <c r="P232" s="50">
        <v>288.6155</v>
      </c>
      <c r="Q232" s="51"/>
      <c r="R232" s="51"/>
      <c r="S232"/>
      <c r="T232">
        <f>T290</f>
        <v>0</v>
      </c>
      <c r="U232" s="50">
        <v>250.97</v>
      </c>
      <c r="V232"/>
      <c r="W232" s="42"/>
      <c r="X232"/>
      <c r="Y232"/>
      <c r="Z232"/>
      <c r="AA232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38"/>
      <c r="AW232" s="38"/>
      <c r="AX232" s="38"/>
      <c r="AY232" s="38" t="s">
        <v>56</v>
      </c>
      <c r="AZ232" s="6"/>
      <c r="BA232" s="38"/>
      <c r="BB232" s="6"/>
      <c r="BC232" s="6"/>
      <c r="BD232" s="6"/>
      <c r="BE232" s="6"/>
      <c r="BF232" s="6"/>
      <c r="BG232" s="6"/>
      <c r="BH232" s="6"/>
      <c r="BI232" s="6"/>
      <c r="BJ232" s="6"/>
      <c r="BK232" s="6"/>
    </row>
    <row r="233" spans="1:63" s="19" customFormat="1" ht="15" x14ac:dyDescent="0.25">
      <c r="A233" s="52"/>
      <c r="B233" s="53"/>
      <c r="C233" s="104" t="s">
        <v>57</v>
      </c>
      <c r="D233" s="104"/>
      <c r="E233" s="104"/>
      <c r="F233" s="104"/>
      <c r="G233" s="104"/>
      <c r="H233" s="54"/>
      <c r="I233" s="55"/>
      <c r="J233" s="55"/>
      <c r="K233" s="55"/>
      <c r="L233" s="56"/>
      <c r="M233" s="55"/>
      <c r="N233" s="56"/>
      <c r="O233" s="55"/>
      <c r="P233" s="77">
        <v>286.45349999999996</v>
      </c>
      <c r="Q233"/>
      <c r="R233"/>
      <c r="S233"/>
      <c r="T233">
        <f>T290</f>
        <v>0</v>
      </c>
      <c r="U233" s="65">
        <v>249.09</v>
      </c>
      <c r="V233"/>
      <c r="W233" s="55"/>
      <c r="X233"/>
      <c r="Y233"/>
      <c r="Z233"/>
      <c r="AA233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38"/>
      <c r="AW233" s="38"/>
      <c r="AX233" s="38"/>
      <c r="AY233" s="38"/>
      <c r="AZ233" s="6" t="s">
        <v>57</v>
      </c>
      <c r="BA233" s="38"/>
      <c r="BB233" s="6"/>
      <c r="BC233" s="6"/>
      <c r="BD233" s="6"/>
      <c r="BE233" s="6"/>
      <c r="BF233" s="6"/>
      <c r="BG233" s="6"/>
      <c r="BH233" s="6"/>
      <c r="BI233" s="6"/>
      <c r="BJ233" s="6"/>
      <c r="BK233" s="6"/>
    </row>
    <row r="234" spans="1:63" s="19" customFormat="1" ht="34.5" x14ac:dyDescent="0.25">
      <c r="A234" s="52"/>
      <c r="B234" s="53" t="s">
        <v>215</v>
      </c>
      <c r="C234" s="104" t="s">
        <v>216</v>
      </c>
      <c r="D234" s="104"/>
      <c r="E234" s="104"/>
      <c r="F234" s="104"/>
      <c r="G234" s="104"/>
      <c r="H234" s="54" t="s">
        <v>60</v>
      </c>
      <c r="I234" s="58">
        <v>121</v>
      </c>
      <c r="J234" s="55"/>
      <c r="K234" s="58">
        <v>121</v>
      </c>
      <c r="L234" s="56"/>
      <c r="M234" s="55"/>
      <c r="N234" s="56"/>
      <c r="O234" s="55"/>
      <c r="P234" s="77">
        <v>346.60999999999996</v>
      </c>
      <c r="Q234"/>
      <c r="R234"/>
      <c r="S234"/>
      <c r="T234">
        <f>T290</f>
        <v>0</v>
      </c>
      <c r="U234" s="65">
        <v>301.39999999999998</v>
      </c>
      <c r="V234"/>
      <c r="W234" s="58">
        <v>121</v>
      </c>
      <c r="X234"/>
      <c r="Y234"/>
      <c r="Z234"/>
      <c r="AA234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38"/>
      <c r="AW234" s="38"/>
      <c r="AX234" s="38"/>
      <c r="AY234" s="38"/>
      <c r="AZ234" s="6" t="s">
        <v>216</v>
      </c>
      <c r="BA234" s="38"/>
      <c r="BB234" s="6"/>
      <c r="BC234" s="6"/>
      <c r="BD234" s="6"/>
      <c r="BE234" s="6"/>
      <c r="BF234" s="6"/>
      <c r="BG234" s="6"/>
      <c r="BH234" s="6"/>
      <c r="BI234" s="6"/>
      <c r="BJ234" s="6"/>
      <c r="BK234" s="6"/>
    </row>
    <row r="235" spans="1:63" s="19" customFormat="1" ht="34.5" x14ac:dyDescent="0.25">
      <c r="A235" s="52"/>
      <c r="B235" s="53" t="s">
        <v>217</v>
      </c>
      <c r="C235" s="104" t="s">
        <v>218</v>
      </c>
      <c r="D235" s="104"/>
      <c r="E235" s="104"/>
      <c r="F235" s="104"/>
      <c r="G235" s="104"/>
      <c r="H235" s="54" t="s">
        <v>60</v>
      </c>
      <c r="I235" s="58">
        <v>72</v>
      </c>
      <c r="J235" s="55"/>
      <c r="K235" s="58">
        <v>72</v>
      </c>
      <c r="L235" s="56"/>
      <c r="M235" s="55"/>
      <c r="N235" s="56"/>
      <c r="O235" s="55"/>
      <c r="P235" s="77">
        <v>206.24099999999999</v>
      </c>
      <c r="Q235"/>
      <c r="R235"/>
      <c r="S235"/>
      <c r="T235">
        <f>T290</f>
        <v>0</v>
      </c>
      <c r="U235" s="65">
        <v>179.34</v>
      </c>
      <c r="V235"/>
      <c r="W235" s="58">
        <v>72</v>
      </c>
      <c r="X235"/>
      <c r="Y235"/>
      <c r="Z235"/>
      <c r="AA235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38"/>
      <c r="AW235" s="38"/>
      <c r="AX235" s="38"/>
      <c r="AY235" s="38"/>
      <c r="AZ235" s="6" t="s">
        <v>218</v>
      </c>
      <c r="BA235" s="38"/>
      <c r="BB235" s="6"/>
      <c r="BC235" s="6"/>
      <c r="BD235" s="6"/>
      <c r="BE235" s="6"/>
      <c r="BF235" s="6"/>
      <c r="BG235" s="6"/>
      <c r="BH235" s="6"/>
      <c r="BI235" s="6"/>
      <c r="BJ235" s="6"/>
      <c r="BK235" s="6"/>
    </row>
    <row r="236" spans="1:63" s="19" customFormat="1" ht="15" x14ac:dyDescent="0.25">
      <c r="A236" s="59"/>
      <c r="B236" s="60"/>
      <c r="C236" s="102" t="s">
        <v>63</v>
      </c>
      <c r="D236" s="102"/>
      <c r="E236" s="102"/>
      <c r="F236" s="102"/>
      <c r="G236" s="102"/>
      <c r="H236" s="41"/>
      <c r="I236" s="42"/>
      <c r="J236" s="42"/>
      <c r="K236" s="42"/>
      <c r="L236" s="45"/>
      <c r="M236" s="42"/>
      <c r="N236" s="49">
        <v>73171</v>
      </c>
      <c r="O236" s="42"/>
      <c r="P236" s="50">
        <v>841.4665</v>
      </c>
      <c r="Q236"/>
      <c r="R236"/>
      <c r="S236"/>
      <c r="T236">
        <f>T290</f>
        <v>0</v>
      </c>
      <c r="U236" s="63">
        <f>731.71*(K231/W231)</f>
        <v>731.71</v>
      </c>
      <c r="V236"/>
      <c r="W236" s="42"/>
      <c r="X236"/>
      <c r="Y236"/>
      <c r="Z236"/>
      <c r="AA23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38"/>
      <c r="AW236" s="38"/>
      <c r="AX236" s="38"/>
      <c r="AY236" s="38"/>
      <c r="AZ236" s="6"/>
      <c r="BA236" s="38" t="s">
        <v>63</v>
      </c>
      <c r="BB236" s="6"/>
      <c r="BC236" s="6"/>
      <c r="BD236" s="6"/>
      <c r="BE236" s="6"/>
      <c r="BF236" s="6"/>
      <c r="BG236" s="6"/>
      <c r="BH236" s="6"/>
      <c r="BI236" s="6"/>
      <c r="BJ236" s="6"/>
      <c r="BK236" s="6"/>
    </row>
    <row r="237" spans="1:63" s="19" customFormat="1" ht="23.25" x14ac:dyDescent="0.25">
      <c r="A237" s="39" t="s">
        <v>254</v>
      </c>
      <c r="B237" s="40" t="s">
        <v>255</v>
      </c>
      <c r="C237" s="103" t="s">
        <v>256</v>
      </c>
      <c r="D237" s="103"/>
      <c r="E237" s="103"/>
      <c r="F237" s="103"/>
      <c r="G237" s="103"/>
      <c r="H237" s="41" t="s">
        <v>244</v>
      </c>
      <c r="I237" s="42">
        <v>0.998</v>
      </c>
      <c r="J237" s="43">
        <v>1</v>
      </c>
      <c r="K237" s="66">
        <v>0.998</v>
      </c>
      <c r="L237" s="61">
        <v>134</v>
      </c>
      <c r="M237" s="62">
        <v>1.01</v>
      </c>
      <c r="N237" s="61">
        <v>135.34</v>
      </c>
      <c r="O237" s="42"/>
      <c r="P237" s="50">
        <v>155.33049999999997</v>
      </c>
      <c r="Q237"/>
      <c r="R237"/>
      <c r="S237"/>
      <c r="T237">
        <f>T290</f>
        <v>0</v>
      </c>
      <c r="U237" s="63">
        <f>U238</f>
        <v>135.07</v>
      </c>
      <c r="V237"/>
      <c r="W237" s="66">
        <v>0.998</v>
      </c>
      <c r="X237"/>
      <c r="Y237"/>
      <c r="Z237"/>
      <c r="AA237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38"/>
      <c r="AW237" s="38"/>
      <c r="AX237" s="38" t="s">
        <v>256</v>
      </c>
      <c r="AY237" s="38"/>
      <c r="AZ237" s="6"/>
      <c r="BA237" s="38"/>
      <c r="BB237" s="6"/>
      <c r="BC237" s="6"/>
      <c r="BD237" s="6"/>
      <c r="BE237" s="6"/>
      <c r="BF237" s="6"/>
      <c r="BG237" s="6"/>
      <c r="BH237" s="6"/>
      <c r="BI237" s="6"/>
      <c r="BJ237" s="6"/>
      <c r="BK237" s="6"/>
    </row>
    <row r="238" spans="1:63" s="19" customFormat="1" ht="15" x14ac:dyDescent="0.25">
      <c r="A238" s="59"/>
      <c r="B238" s="60"/>
      <c r="C238" s="102" t="s">
        <v>63</v>
      </c>
      <c r="D238" s="102"/>
      <c r="E238" s="102"/>
      <c r="F238" s="102"/>
      <c r="G238" s="102"/>
      <c r="H238" s="41"/>
      <c r="I238" s="42"/>
      <c r="J238" s="42"/>
      <c r="K238" s="42"/>
      <c r="L238" s="45"/>
      <c r="M238" s="42"/>
      <c r="N238" s="45"/>
      <c r="O238" s="42"/>
      <c r="P238" s="50">
        <v>155.33049999999997</v>
      </c>
      <c r="Q238"/>
      <c r="R238"/>
      <c r="S238"/>
      <c r="T238">
        <f>T290</f>
        <v>0</v>
      </c>
      <c r="U238" s="63">
        <f>135.07*(K237/W237)</f>
        <v>135.07</v>
      </c>
      <c r="V238"/>
      <c r="W238" s="42"/>
      <c r="X238"/>
      <c r="Y238"/>
      <c r="Z238"/>
      <c r="AA238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38"/>
      <c r="AW238" s="38"/>
      <c r="AX238" s="38"/>
      <c r="AY238" s="38"/>
      <c r="AZ238" s="6"/>
      <c r="BA238" s="38" t="s">
        <v>63</v>
      </c>
      <c r="BB238" s="6"/>
      <c r="BC238" s="6"/>
      <c r="BD238" s="6"/>
      <c r="BE238" s="6"/>
      <c r="BF238" s="6"/>
      <c r="BG238" s="6"/>
      <c r="BH238" s="6"/>
      <c r="BI238" s="6"/>
      <c r="BJ238" s="6"/>
      <c r="BK238" s="6"/>
    </row>
    <row r="239" spans="1:63" s="19" customFormat="1" ht="23.25" x14ac:dyDescent="0.25">
      <c r="A239" s="39" t="s">
        <v>257</v>
      </c>
      <c r="B239" s="40" t="s">
        <v>258</v>
      </c>
      <c r="C239" s="103" t="s">
        <v>259</v>
      </c>
      <c r="D239" s="103"/>
      <c r="E239" s="103"/>
      <c r="F239" s="103"/>
      <c r="G239" s="103"/>
      <c r="H239" s="41" t="s">
        <v>83</v>
      </c>
      <c r="I239" s="42">
        <v>1</v>
      </c>
      <c r="J239" s="43">
        <v>1</v>
      </c>
      <c r="K239" s="43">
        <v>1</v>
      </c>
      <c r="L239" s="61">
        <v>26.78</v>
      </c>
      <c r="M239" s="62">
        <v>1.01</v>
      </c>
      <c r="N239" s="61">
        <v>27.05</v>
      </c>
      <c r="O239" s="42"/>
      <c r="P239" s="50">
        <v>31.107499999999998</v>
      </c>
      <c r="Q239"/>
      <c r="R239"/>
      <c r="S239"/>
      <c r="T239">
        <f>T290</f>
        <v>0</v>
      </c>
      <c r="U239" s="63">
        <f>U240</f>
        <v>27.05</v>
      </c>
      <c r="V239"/>
      <c r="W239" s="43">
        <v>1</v>
      </c>
      <c r="X239"/>
      <c r="Y239"/>
      <c r="Z239"/>
      <c r="AA239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38"/>
      <c r="AW239" s="38"/>
      <c r="AX239" s="38" t="s">
        <v>259</v>
      </c>
      <c r="AY239" s="38"/>
      <c r="AZ239" s="6"/>
      <c r="BA239" s="38"/>
      <c r="BB239" s="6"/>
      <c r="BC239" s="6"/>
      <c r="BD239" s="6"/>
      <c r="BE239" s="6"/>
      <c r="BF239" s="6"/>
      <c r="BG239" s="6"/>
      <c r="BH239" s="6"/>
      <c r="BI239" s="6"/>
      <c r="BJ239" s="6"/>
      <c r="BK239" s="6"/>
    </row>
    <row r="240" spans="1:63" s="19" customFormat="1" ht="15" x14ac:dyDescent="0.25">
      <c r="A240" s="59"/>
      <c r="B240" s="60"/>
      <c r="C240" s="102" t="s">
        <v>63</v>
      </c>
      <c r="D240" s="102"/>
      <c r="E240" s="102"/>
      <c r="F240" s="102"/>
      <c r="G240" s="102"/>
      <c r="H240" s="41"/>
      <c r="I240" s="42"/>
      <c r="J240" s="42"/>
      <c r="K240" s="42"/>
      <c r="L240" s="45"/>
      <c r="M240" s="42"/>
      <c r="N240" s="45"/>
      <c r="O240" s="42"/>
      <c r="P240" s="50">
        <v>31.107499999999998</v>
      </c>
      <c r="Q240"/>
      <c r="R240"/>
      <c r="S240"/>
      <c r="T240">
        <f>T290</f>
        <v>0</v>
      </c>
      <c r="U240" s="63">
        <f>27.05*(K239/W239)</f>
        <v>27.05</v>
      </c>
      <c r="V240"/>
      <c r="W240" s="42"/>
      <c r="X240"/>
      <c r="Y240"/>
      <c r="Z240"/>
      <c r="AA240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38"/>
      <c r="AW240" s="38"/>
      <c r="AX240" s="38"/>
      <c r="AY240" s="38"/>
      <c r="AZ240" s="6"/>
      <c r="BA240" s="38" t="s">
        <v>63</v>
      </c>
      <c r="BB240" s="6"/>
      <c r="BC240" s="6"/>
      <c r="BD240" s="6"/>
      <c r="BE240" s="6"/>
      <c r="BF240" s="6"/>
      <c r="BG240" s="6"/>
      <c r="BH240" s="6"/>
      <c r="BI240" s="6"/>
      <c r="BJ240" s="6"/>
      <c r="BK240" s="6"/>
    </row>
    <row r="241" spans="1:63" s="19" customFormat="1" ht="33.75" x14ac:dyDescent="0.25">
      <c r="A241" s="39" t="s">
        <v>260</v>
      </c>
      <c r="B241" s="40" t="s">
        <v>261</v>
      </c>
      <c r="C241" s="103" t="s">
        <v>262</v>
      </c>
      <c r="D241" s="103"/>
      <c r="E241" s="103"/>
      <c r="F241" s="103"/>
      <c r="G241" s="103"/>
      <c r="H241" s="41" t="s">
        <v>263</v>
      </c>
      <c r="I241" s="42">
        <v>0.14000000000000001</v>
      </c>
      <c r="J241" s="43">
        <v>1</v>
      </c>
      <c r="K241" s="62">
        <v>0.14000000000000001</v>
      </c>
      <c r="L241" s="45"/>
      <c r="M241" s="42"/>
      <c r="N241" s="45"/>
      <c r="O241" s="42"/>
      <c r="P241" s="50"/>
      <c r="Q241"/>
      <c r="R241"/>
      <c r="S241"/>
      <c r="T241"/>
      <c r="U241" s="46"/>
      <c r="V241"/>
      <c r="W241" s="62">
        <v>0.14000000000000001</v>
      </c>
      <c r="X241"/>
      <c r="Y241"/>
      <c r="Z241"/>
      <c r="AA241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38"/>
      <c r="AW241" s="38"/>
      <c r="AX241" s="38" t="s">
        <v>262</v>
      </c>
      <c r="AY241" s="38"/>
      <c r="AZ241" s="6"/>
      <c r="BA241" s="38"/>
      <c r="BB241" s="6"/>
      <c r="BC241" s="6"/>
      <c r="BD241" s="6"/>
      <c r="BE241" s="6"/>
      <c r="BF241" s="6"/>
      <c r="BG241" s="6"/>
      <c r="BH241" s="6"/>
      <c r="BI241" s="6"/>
      <c r="BJ241" s="6"/>
      <c r="BK241" s="6"/>
    </row>
    <row r="242" spans="1:63" s="19" customFormat="1" ht="15" x14ac:dyDescent="0.25">
      <c r="A242" s="47"/>
      <c r="B242" s="48"/>
      <c r="C242" s="102" t="s">
        <v>56</v>
      </c>
      <c r="D242" s="102"/>
      <c r="E242" s="102"/>
      <c r="F242" s="102"/>
      <c r="G242" s="102"/>
      <c r="H242" s="41"/>
      <c r="I242" s="42"/>
      <c r="J242" s="42"/>
      <c r="K242" s="42"/>
      <c r="L242" s="45"/>
      <c r="M242" s="42"/>
      <c r="N242" s="49"/>
      <c r="O242" s="42"/>
      <c r="P242" s="50">
        <v>147.51050000000001</v>
      </c>
      <c r="Q242" s="51"/>
      <c r="R242" s="51"/>
      <c r="S242"/>
      <c r="T242">
        <f>T290</f>
        <v>0</v>
      </c>
      <c r="U242" s="50">
        <v>128.27000000000001</v>
      </c>
      <c r="V242"/>
      <c r="W242" s="42"/>
      <c r="X242"/>
      <c r="Y242"/>
      <c r="Z242"/>
      <c r="AA242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38"/>
      <c r="AW242" s="38"/>
      <c r="AX242" s="38"/>
      <c r="AY242" s="38" t="s">
        <v>56</v>
      </c>
      <c r="AZ242" s="6"/>
      <c r="BA242" s="38"/>
      <c r="BB242" s="6"/>
      <c r="BC242" s="6"/>
      <c r="BD242" s="6"/>
      <c r="BE242" s="6"/>
      <c r="BF242" s="6"/>
      <c r="BG242" s="6"/>
      <c r="BH242" s="6"/>
      <c r="BI242" s="6"/>
      <c r="BJ242" s="6"/>
      <c r="BK242" s="6"/>
    </row>
    <row r="243" spans="1:63" s="19" customFormat="1" ht="15" x14ac:dyDescent="0.25">
      <c r="A243" s="52"/>
      <c r="B243" s="53"/>
      <c r="C243" s="104" t="s">
        <v>57</v>
      </c>
      <c r="D243" s="104"/>
      <c r="E243" s="104"/>
      <c r="F243" s="104"/>
      <c r="G243" s="104"/>
      <c r="H243" s="54"/>
      <c r="I243" s="55"/>
      <c r="J243" s="55"/>
      <c r="K243" s="55"/>
      <c r="L243" s="56"/>
      <c r="M243" s="55"/>
      <c r="N243" s="56"/>
      <c r="O243" s="55"/>
      <c r="P243" s="77">
        <v>147.51050000000001</v>
      </c>
      <c r="Q243"/>
      <c r="R243"/>
      <c r="S243"/>
      <c r="T243">
        <f>T290</f>
        <v>0</v>
      </c>
      <c r="U243" s="65">
        <v>128.27000000000001</v>
      </c>
      <c r="V243"/>
      <c r="W243" s="55"/>
      <c r="X243"/>
      <c r="Y243"/>
      <c r="Z243"/>
      <c r="AA243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38"/>
      <c r="AW243" s="38"/>
      <c r="AX243" s="38"/>
      <c r="AY243" s="38"/>
      <c r="AZ243" s="6" t="s">
        <v>57</v>
      </c>
      <c r="BA243" s="38"/>
      <c r="BB243" s="6"/>
      <c r="BC243" s="6"/>
      <c r="BD243" s="6"/>
      <c r="BE243" s="6"/>
      <c r="BF243" s="6"/>
      <c r="BG243" s="6"/>
      <c r="BH243" s="6"/>
      <c r="BI243" s="6"/>
      <c r="BJ243" s="6"/>
      <c r="BK243" s="6"/>
    </row>
    <row r="244" spans="1:63" s="19" customFormat="1" ht="34.5" x14ac:dyDescent="0.25">
      <c r="A244" s="52"/>
      <c r="B244" s="53" t="s">
        <v>215</v>
      </c>
      <c r="C244" s="104" t="s">
        <v>216</v>
      </c>
      <c r="D244" s="104"/>
      <c r="E244" s="104"/>
      <c r="F244" s="104"/>
      <c r="G244" s="104"/>
      <c r="H244" s="54" t="s">
        <v>60</v>
      </c>
      <c r="I244" s="58">
        <v>121</v>
      </c>
      <c r="J244" s="55"/>
      <c r="K244" s="58">
        <v>121</v>
      </c>
      <c r="L244" s="56"/>
      <c r="M244" s="55"/>
      <c r="N244" s="56"/>
      <c r="O244" s="55"/>
      <c r="P244" s="77">
        <v>178.4915</v>
      </c>
      <c r="Q244"/>
      <c r="R244"/>
      <c r="S244"/>
      <c r="T244">
        <f>T290</f>
        <v>0</v>
      </c>
      <c r="U244" s="65">
        <v>155.21</v>
      </c>
      <c r="V244"/>
      <c r="W244" s="58">
        <v>121</v>
      </c>
      <c r="X244"/>
      <c r="Y244"/>
      <c r="Z244"/>
      <c r="AA244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38"/>
      <c r="AW244" s="38"/>
      <c r="AX244" s="38"/>
      <c r="AY244" s="38"/>
      <c r="AZ244" s="6" t="s">
        <v>216</v>
      </c>
      <c r="BA244" s="38"/>
      <c r="BB244" s="6"/>
      <c r="BC244" s="6"/>
      <c r="BD244" s="6"/>
      <c r="BE244" s="6"/>
      <c r="BF244" s="6"/>
      <c r="BG244" s="6"/>
      <c r="BH244" s="6"/>
      <c r="BI244" s="6"/>
      <c r="BJ244" s="6"/>
      <c r="BK244" s="6"/>
    </row>
    <row r="245" spans="1:63" s="19" customFormat="1" ht="34.5" x14ac:dyDescent="0.25">
      <c r="A245" s="52"/>
      <c r="B245" s="53" t="s">
        <v>217</v>
      </c>
      <c r="C245" s="104" t="s">
        <v>218</v>
      </c>
      <c r="D245" s="104"/>
      <c r="E245" s="104"/>
      <c r="F245" s="104"/>
      <c r="G245" s="104"/>
      <c r="H245" s="54" t="s">
        <v>60</v>
      </c>
      <c r="I245" s="58">
        <v>72</v>
      </c>
      <c r="J245" s="55"/>
      <c r="K245" s="58">
        <v>72</v>
      </c>
      <c r="L245" s="56"/>
      <c r="M245" s="55"/>
      <c r="N245" s="56"/>
      <c r="O245" s="55"/>
      <c r="P245" s="77">
        <v>106.20249999999999</v>
      </c>
      <c r="Q245"/>
      <c r="R245"/>
      <c r="S245"/>
      <c r="T245">
        <f>T290</f>
        <v>0</v>
      </c>
      <c r="U245" s="65">
        <v>92.35</v>
      </c>
      <c r="V245"/>
      <c r="W245" s="58">
        <v>72</v>
      </c>
      <c r="X245"/>
      <c r="Y245"/>
      <c r="Z245"/>
      <c r="AA245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38"/>
      <c r="AW245" s="38"/>
      <c r="AX245" s="38"/>
      <c r="AY245" s="38"/>
      <c r="AZ245" s="6" t="s">
        <v>218</v>
      </c>
      <c r="BA245" s="38"/>
      <c r="BB245" s="6"/>
      <c r="BC245" s="6"/>
      <c r="BD245" s="6"/>
      <c r="BE245" s="6"/>
      <c r="BF245" s="6"/>
      <c r="BG245" s="6"/>
      <c r="BH245" s="6"/>
      <c r="BI245" s="6"/>
      <c r="BJ245" s="6"/>
      <c r="BK245" s="6"/>
    </row>
    <row r="246" spans="1:63" s="19" customFormat="1" ht="15" x14ac:dyDescent="0.25">
      <c r="A246" s="59"/>
      <c r="B246" s="60"/>
      <c r="C246" s="102" t="s">
        <v>63</v>
      </c>
      <c r="D246" s="102"/>
      <c r="E246" s="102"/>
      <c r="F246" s="102"/>
      <c r="G246" s="102"/>
      <c r="H246" s="41"/>
      <c r="I246" s="42"/>
      <c r="J246" s="42"/>
      <c r="K246" s="42"/>
      <c r="L246" s="45"/>
      <c r="M246" s="42"/>
      <c r="N246" s="49">
        <v>2684.5</v>
      </c>
      <c r="O246" s="42"/>
      <c r="P246" s="50">
        <v>432.20449999999994</v>
      </c>
      <c r="Q246"/>
      <c r="R246"/>
      <c r="S246"/>
      <c r="T246">
        <f>T290</f>
        <v>0</v>
      </c>
      <c r="U246" s="63">
        <f>375.83*(K241/W241)</f>
        <v>375.83</v>
      </c>
      <c r="V246"/>
      <c r="W246" s="42"/>
      <c r="X246"/>
      <c r="Y246"/>
      <c r="Z246"/>
      <c r="AA24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38"/>
      <c r="AW246" s="38"/>
      <c r="AX246" s="38"/>
      <c r="AY246" s="38"/>
      <c r="AZ246" s="6"/>
      <c r="BA246" s="38" t="s">
        <v>63</v>
      </c>
      <c r="BB246" s="6"/>
      <c r="BC246" s="6"/>
      <c r="BD246" s="6"/>
      <c r="BE246" s="6"/>
      <c r="BF246" s="6"/>
      <c r="BG246" s="6"/>
      <c r="BH246" s="6"/>
      <c r="BI246" s="6"/>
      <c r="BJ246" s="6"/>
      <c r="BK246" s="6"/>
    </row>
    <row r="247" spans="1:63" s="19" customFormat="1" ht="34.5" x14ac:dyDescent="0.25">
      <c r="A247" s="39" t="s">
        <v>264</v>
      </c>
      <c r="B247" s="40" t="s">
        <v>265</v>
      </c>
      <c r="C247" s="103" t="s">
        <v>266</v>
      </c>
      <c r="D247" s="103"/>
      <c r="E247" s="103"/>
      <c r="F247" s="103"/>
      <c r="G247" s="103"/>
      <c r="H247" s="41" t="s">
        <v>125</v>
      </c>
      <c r="I247" s="42">
        <v>0.05</v>
      </c>
      <c r="J247" s="43">
        <v>1</v>
      </c>
      <c r="K247" s="62">
        <v>0.05</v>
      </c>
      <c r="L247" s="45"/>
      <c r="M247" s="42"/>
      <c r="N247" s="45"/>
      <c r="O247" s="42"/>
      <c r="P247" s="50"/>
      <c r="Q247"/>
      <c r="R247"/>
      <c r="S247"/>
      <c r="T247"/>
      <c r="U247" s="46"/>
      <c r="V247"/>
      <c r="W247" s="62">
        <v>0.05</v>
      </c>
      <c r="X247"/>
      <c r="Y247"/>
      <c r="Z247"/>
      <c r="AA247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38"/>
      <c r="AW247" s="38"/>
      <c r="AX247" s="38" t="s">
        <v>266</v>
      </c>
      <c r="AY247" s="38"/>
      <c r="AZ247" s="6"/>
      <c r="BA247" s="38"/>
      <c r="BB247" s="6"/>
      <c r="BC247" s="6"/>
      <c r="BD247" s="6"/>
      <c r="BE247" s="6"/>
      <c r="BF247" s="6"/>
      <c r="BG247" s="6"/>
      <c r="BH247" s="6"/>
      <c r="BI247" s="6"/>
      <c r="BJ247" s="6"/>
      <c r="BK247" s="6"/>
    </row>
    <row r="248" spans="1:63" s="19" customFormat="1" ht="15" x14ac:dyDescent="0.25">
      <c r="A248" s="47"/>
      <c r="B248" s="48"/>
      <c r="C248" s="102" t="s">
        <v>56</v>
      </c>
      <c r="D248" s="102"/>
      <c r="E248" s="102"/>
      <c r="F248" s="102"/>
      <c r="G248" s="102"/>
      <c r="H248" s="41"/>
      <c r="I248" s="42"/>
      <c r="J248" s="42"/>
      <c r="K248" s="42"/>
      <c r="L248" s="45"/>
      <c r="M248" s="42"/>
      <c r="N248" s="49"/>
      <c r="O248" s="42"/>
      <c r="P248" s="50">
        <v>345.01149999999996</v>
      </c>
      <c r="Q248" s="51"/>
      <c r="R248" s="51"/>
      <c r="S248"/>
      <c r="T248">
        <f>T290</f>
        <v>0</v>
      </c>
      <c r="U248" s="50">
        <v>300.01</v>
      </c>
      <c r="V248"/>
      <c r="W248" s="42"/>
      <c r="X248"/>
      <c r="Y248"/>
      <c r="Z248"/>
      <c r="AA248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38"/>
      <c r="AW248" s="38"/>
      <c r="AX248" s="38"/>
      <c r="AY248" s="38" t="s">
        <v>56</v>
      </c>
      <c r="AZ248" s="6"/>
      <c r="BA248" s="38"/>
      <c r="BB248" s="6"/>
      <c r="BC248" s="6"/>
      <c r="BD248" s="6"/>
      <c r="BE248" s="6"/>
      <c r="BF248" s="6"/>
      <c r="BG248" s="6"/>
      <c r="BH248" s="6"/>
      <c r="BI248" s="6"/>
      <c r="BJ248" s="6"/>
      <c r="BK248" s="6"/>
    </row>
    <row r="249" spans="1:63" s="19" customFormat="1" ht="15" x14ac:dyDescent="0.25">
      <c r="A249" s="52"/>
      <c r="B249" s="53"/>
      <c r="C249" s="104" t="s">
        <v>57</v>
      </c>
      <c r="D249" s="104"/>
      <c r="E249" s="104"/>
      <c r="F249" s="104"/>
      <c r="G249" s="104"/>
      <c r="H249" s="54"/>
      <c r="I249" s="55"/>
      <c r="J249" s="55"/>
      <c r="K249" s="55"/>
      <c r="L249" s="56"/>
      <c r="M249" s="55"/>
      <c r="N249" s="56"/>
      <c r="O249" s="55"/>
      <c r="P249" s="77">
        <v>307.6825</v>
      </c>
      <c r="Q249"/>
      <c r="R249"/>
      <c r="S249"/>
      <c r="T249">
        <f>T290</f>
        <v>0</v>
      </c>
      <c r="U249" s="65">
        <v>267.55</v>
      </c>
      <c r="V249"/>
      <c r="W249" s="55"/>
      <c r="X249"/>
      <c r="Y249"/>
      <c r="Z249"/>
      <c r="AA249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38"/>
      <c r="AW249" s="38"/>
      <c r="AX249" s="38"/>
      <c r="AY249" s="38"/>
      <c r="AZ249" s="6" t="s">
        <v>57</v>
      </c>
      <c r="BA249" s="38"/>
      <c r="BB249" s="6"/>
      <c r="BC249" s="6"/>
      <c r="BD249" s="6"/>
      <c r="BE249" s="6"/>
      <c r="BF249" s="6"/>
      <c r="BG249" s="6"/>
      <c r="BH249" s="6"/>
      <c r="BI249" s="6"/>
      <c r="BJ249" s="6"/>
      <c r="BK249" s="6"/>
    </row>
    <row r="250" spans="1:63" s="19" customFormat="1" ht="34.5" x14ac:dyDescent="0.25">
      <c r="A250" s="52"/>
      <c r="B250" s="53" t="s">
        <v>215</v>
      </c>
      <c r="C250" s="104" t="s">
        <v>216</v>
      </c>
      <c r="D250" s="104"/>
      <c r="E250" s="104"/>
      <c r="F250" s="104"/>
      <c r="G250" s="104"/>
      <c r="H250" s="54" t="s">
        <v>60</v>
      </c>
      <c r="I250" s="58">
        <v>121</v>
      </c>
      <c r="J250" s="55"/>
      <c r="K250" s="58">
        <v>121</v>
      </c>
      <c r="L250" s="56"/>
      <c r="M250" s="55"/>
      <c r="N250" s="56"/>
      <c r="O250" s="55"/>
      <c r="P250" s="77">
        <v>372.30099999999999</v>
      </c>
      <c r="Q250"/>
      <c r="R250"/>
      <c r="S250"/>
      <c r="T250">
        <f>T290</f>
        <v>0</v>
      </c>
      <c r="U250" s="65">
        <v>323.74</v>
      </c>
      <c r="V250"/>
      <c r="W250" s="58">
        <v>121</v>
      </c>
      <c r="X250"/>
      <c r="Y250"/>
      <c r="Z250"/>
      <c r="AA250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38"/>
      <c r="AW250" s="38"/>
      <c r="AX250" s="38"/>
      <c r="AY250" s="38"/>
      <c r="AZ250" s="6" t="s">
        <v>216</v>
      </c>
      <c r="BA250" s="38"/>
      <c r="BB250" s="6"/>
      <c r="BC250" s="6"/>
      <c r="BD250" s="6"/>
      <c r="BE250" s="6"/>
      <c r="BF250" s="6"/>
      <c r="BG250" s="6"/>
      <c r="BH250" s="6"/>
      <c r="BI250" s="6"/>
      <c r="BJ250" s="6"/>
      <c r="BK250" s="6"/>
    </row>
    <row r="251" spans="1:63" s="19" customFormat="1" ht="34.5" x14ac:dyDescent="0.25">
      <c r="A251" s="52"/>
      <c r="B251" s="53" t="s">
        <v>217</v>
      </c>
      <c r="C251" s="104" t="s">
        <v>218</v>
      </c>
      <c r="D251" s="104"/>
      <c r="E251" s="104"/>
      <c r="F251" s="104"/>
      <c r="G251" s="104"/>
      <c r="H251" s="54" t="s">
        <v>60</v>
      </c>
      <c r="I251" s="58">
        <v>72</v>
      </c>
      <c r="J251" s="55"/>
      <c r="K251" s="58">
        <v>72</v>
      </c>
      <c r="L251" s="56"/>
      <c r="M251" s="55"/>
      <c r="N251" s="56"/>
      <c r="O251" s="55"/>
      <c r="P251" s="77">
        <v>221.53599999999997</v>
      </c>
      <c r="Q251"/>
      <c r="R251"/>
      <c r="S251"/>
      <c r="T251">
        <f>T290</f>
        <v>0</v>
      </c>
      <c r="U251" s="65">
        <v>192.64</v>
      </c>
      <c r="V251"/>
      <c r="W251" s="58">
        <v>72</v>
      </c>
      <c r="X251"/>
      <c r="Y251"/>
      <c r="Z251"/>
      <c r="AA251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38"/>
      <c r="AW251" s="38"/>
      <c r="AX251" s="38"/>
      <c r="AY251" s="38"/>
      <c r="AZ251" s="6" t="s">
        <v>218</v>
      </c>
      <c r="BA251" s="38"/>
      <c r="BB251" s="6"/>
      <c r="BC251" s="6"/>
      <c r="BD251" s="6"/>
      <c r="BE251" s="6"/>
      <c r="BF251" s="6"/>
      <c r="BG251" s="6"/>
      <c r="BH251" s="6"/>
      <c r="BI251" s="6"/>
      <c r="BJ251" s="6"/>
      <c r="BK251" s="6"/>
    </row>
    <row r="252" spans="1:63" s="19" customFormat="1" ht="15" x14ac:dyDescent="0.25">
      <c r="A252" s="59"/>
      <c r="B252" s="60"/>
      <c r="C252" s="102" t="s">
        <v>63</v>
      </c>
      <c r="D252" s="102"/>
      <c r="E252" s="102"/>
      <c r="F252" s="102"/>
      <c r="G252" s="102"/>
      <c r="H252" s="41"/>
      <c r="I252" s="42"/>
      <c r="J252" s="42"/>
      <c r="K252" s="42"/>
      <c r="L252" s="45"/>
      <c r="M252" s="42"/>
      <c r="N252" s="49">
        <v>16327.8</v>
      </c>
      <c r="O252" s="42"/>
      <c r="P252" s="50">
        <v>938.84849999999994</v>
      </c>
      <c r="Q252"/>
      <c r="R252"/>
      <c r="S252"/>
      <c r="T252">
        <f>T290</f>
        <v>0</v>
      </c>
      <c r="U252" s="63">
        <f>816.39*(K247/W247)</f>
        <v>816.39</v>
      </c>
      <c r="V252"/>
      <c r="W252" s="42"/>
      <c r="X252"/>
      <c r="Y252"/>
      <c r="Z252"/>
      <c r="AA252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38"/>
      <c r="AW252" s="38"/>
      <c r="AX252" s="38"/>
      <c r="AY252" s="38"/>
      <c r="AZ252" s="6"/>
      <c r="BA252" s="38" t="s">
        <v>63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</row>
    <row r="253" spans="1:63" s="19" customFormat="1" ht="23.25" x14ac:dyDescent="0.25">
      <c r="A253" s="39" t="s">
        <v>267</v>
      </c>
      <c r="B253" s="40" t="s">
        <v>268</v>
      </c>
      <c r="C253" s="103" t="s">
        <v>269</v>
      </c>
      <c r="D253" s="103"/>
      <c r="E253" s="103"/>
      <c r="F253" s="103"/>
      <c r="G253" s="103"/>
      <c r="H253" s="41" t="s">
        <v>244</v>
      </c>
      <c r="I253" s="42">
        <v>5.125</v>
      </c>
      <c r="J253" s="43">
        <v>1</v>
      </c>
      <c r="K253" s="66">
        <v>5.125</v>
      </c>
      <c r="L253" s="61">
        <v>45.1</v>
      </c>
      <c r="M253" s="62">
        <v>1.01</v>
      </c>
      <c r="N253" s="61">
        <v>45.55</v>
      </c>
      <c r="O253" s="42"/>
      <c r="P253" s="50">
        <v>268.45599999999996</v>
      </c>
      <c r="Q253"/>
      <c r="R253"/>
      <c r="S253"/>
      <c r="T253">
        <f>T290</f>
        <v>0</v>
      </c>
      <c r="U253" s="63">
        <f>U254</f>
        <v>233.44</v>
      </c>
      <c r="V253"/>
      <c r="W253" s="66">
        <v>5.125</v>
      </c>
      <c r="X253"/>
      <c r="Y253"/>
      <c r="Z253"/>
      <c r="AA253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38"/>
      <c r="AW253" s="38"/>
      <c r="AX253" s="38" t="s">
        <v>269</v>
      </c>
      <c r="AY253" s="38"/>
      <c r="AZ253" s="6"/>
      <c r="BA253" s="38"/>
      <c r="BB253" s="6"/>
      <c r="BC253" s="6"/>
      <c r="BD253" s="6"/>
      <c r="BE253" s="6"/>
      <c r="BF253" s="6"/>
      <c r="BG253" s="6"/>
      <c r="BH253" s="6"/>
      <c r="BI253" s="6"/>
      <c r="BJ253" s="6"/>
      <c r="BK253" s="6"/>
    </row>
    <row r="254" spans="1:63" s="19" customFormat="1" ht="15" x14ac:dyDescent="0.25">
      <c r="A254" s="59"/>
      <c r="B254" s="60"/>
      <c r="C254" s="102" t="s">
        <v>63</v>
      </c>
      <c r="D254" s="102"/>
      <c r="E254" s="102"/>
      <c r="F254" s="102"/>
      <c r="G254" s="102"/>
      <c r="H254" s="41"/>
      <c r="I254" s="42"/>
      <c r="J254" s="42"/>
      <c r="K254" s="42"/>
      <c r="L254" s="45"/>
      <c r="M254" s="42"/>
      <c r="N254" s="45"/>
      <c r="O254" s="42"/>
      <c r="P254" s="50">
        <v>268.45599999999996</v>
      </c>
      <c r="Q254"/>
      <c r="R254"/>
      <c r="S254"/>
      <c r="T254">
        <f>T290</f>
        <v>0</v>
      </c>
      <c r="U254" s="63">
        <f>233.44*(K253/W253)</f>
        <v>233.44</v>
      </c>
      <c r="V254"/>
      <c r="W254" s="42"/>
      <c r="X254"/>
      <c r="Y254"/>
      <c r="Z254"/>
      <c r="AA254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38"/>
      <c r="AW254" s="38"/>
      <c r="AX254" s="38"/>
      <c r="AY254" s="38"/>
      <c r="AZ254" s="6"/>
      <c r="BA254" s="38" t="s">
        <v>63</v>
      </c>
      <c r="BB254" s="6"/>
      <c r="BC254" s="6"/>
      <c r="BD254" s="6"/>
      <c r="BE254" s="6"/>
      <c r="BF254" s="6"/>
      <c r="BG254" s="6"/>
      <c r="BH254" s="6"/>
      <c r="BI254" s="6"/>
      <c r="BJ254" s="6"/>
      <c r="BK254" s="6"/>
    </row>
    <row r="255" spans="1:63" s="19" customFormat="1" ht="15" x14ac:dyDescent="0.25">
      <c r="A255" s="39" t="s">
        <v>270</v>
      </c>
      <c r="B255" s="40" t="s">
        <v>271</v>
      </c>
      <c r="C255" s="103" t="s">
        <v>272</v>
      </c>
      <c r="D255" s="103"/>
      <c r="E255" s="103"/>
      <c r="F255" s="103"/>
      <c r="G255" s="103"/>
      <c r="H255" s="41" t="s">
        <v>83</v>
      </c>
      <c r="I255" s="42">
        <v>1</v>
      </c>
      <c r="J255" s="43">
        <v>1</v>
      </c>
      <c r="K255" s="43">
        <v>1</v>
      </c>
      <c r="L255" s="61">
        <v>8.2899999999999991</v>
      </c>
      <c r="M255" s="62">
        <v>1.01</v>
      </c>
      <c r="N255" s="61">
        <v>8.3699999999999992</v>
      </c>
      <c r="O255" s="42"/>
      <c r="P255" s="50">
        <v>9.6254999999999988</v>
      </c>
      <c r="Q255"/>
      <c r="R255"/>
      <c r="S255"/>
      <c r="T255">
        <f>T290</f>
        <v>0</v>
      </c>
      <c r="U255" s="63">
        <f>U256</f>
        <v>8.3699999999999992</v>
      </c>
      <c r="V255"/>
      <c r="W255" s="43">
        <v>1</v>
      </c>
      <c r="X255"/>
      <c r="Y255"/>
      <c r="Z255"/>
      <c r="AA255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38"/>
      <c r="AW255" s="38"/>
      <c r="AX255" s="38" t="s">
        <v>272</v>
      </c>
      <c r="AY255" s="38"/>
      <c r="AZ255" s="6"/>
      <c r="BA255" s="38"/>
      <c r="BB255" s="6"/>
      <c r="BC255" s="6"/>
      <c r="BD255" s="6"/>
      <c r="BE255" s="6"/>
      <c r="BF255" s="6"/>
      <c r="BG255" s="6"/>
      <c r="BH255" s="6"/>
      <c r="BI255" s="6"/>
      <c r="BJ255" s="6"/>
      <c r="BK255" s="6"/>
    </row>
    <row r="256" spans="1:63" s="19" customFormat="1" ht="15" x14ac:dyDescent="0.25">
      <c r="A256" s="59"/>
      <c r="B256" s="60"/>
      <c r="C256" s="102" t="s">
        <v>63</v>
      </c>
      <c r="D256" s="102"/>
      <c r="E256" s="102"/>
      <c r="F256" s="102"/>
      <c r="G256" s="102"/>
      <c r="H256" s="41"/>
      <c r="I256" s="42"/>
      <c r="J256" s="42"/>
      <c r="K256" s="42"/>
      <c r="L256" s="45"/>
      <c r="M256" s="42"/>
      <c r="N256" s="45"/>
      <c r="O256" s="42"/>
      <c r="P256" s="50">
        <v>9.6254999999999988</v>
      </c>
      <c r="Q256"/>
      <c r="R256"/>
      <c r="S256"/>
      <c r="T256">
        <f>T290</f>
        <v>0</v>
      </c>
      <c r="U256" s="63">
        <f>8.37*(K255/W255)</f>
        <v>8.3699999999999992</v>
      </c>
      <c r="V256"/>
      <c r="W256" s="42"/>
      <c r="X256"/>
      <c r="Y256"/>
      <c r="Z256"/>
      <c r="AA25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38"/>
      <c r="AW256" s="38"/>
      <c r="AX256" s="38"/>
      <c r="AY256" s="38"/>
      <c r="AZ256" s="6"/>
      <c r="BA256" s="38" t="s">
        <v>63</v>
      </c>
      <c r="BB256" s="6"/>
      <c r="BC256" s="6"/>
      <c r="BD256" s="6"/>
      <c r="BE256" s="6"/>
      <c r="BF256" s="6"/>
      <c r="BG256" s="6"/>
      <c r="BH256" s="6"/>
      <c r="BI256" s="6"/>
      <c r="BJ256" s="6"/>
      <c r="BK256" s="6"/>
    </row>
    <row r="257" spans="1:63" s="19" customFormat="1" ht="15" x14ac:dyDescent="0.25">
      <c r="A257" s="39" t="s">
        <v>273</v>
      </c>
      <c r="B257" s="40" t="s">
        <v>274</v>
      </c>
      <c r="C257" s="103" t="s">
        <v>275</v>
      </c>
      <c r="D257" s="103"/>
      <c r="E257" s="103"/>
      <c r="F257" s="103"/>
      <c r="G257" s="103"/>
      <c r="H257" s="41" t="s">
        <v>83</v>
      </c>
      <c r="I257" s="42">
        <v>2</v>
      </c>
      <c r="J257" s="43">
        <v>1</v>
      </c>
      <c r="K257" s="43">
        <v>2</v>
      </c>
      <c r="L257" s="61">
        <v>6.28</v>
      </c>
      <c r="M257" s="62">
        <v>1.01</v>
      </c>
      <c r="N257" s="61">
        <v>6.34</v>
      </c>
      <c r="O257" s="42"/>
      <c r="P257" s="50">
        <v>14.581999999999999</v>
      </c>
      <c r="Q257"/>
      <c r="R257"/>
      <c r="S257"/>
      <c r="T257">
        <f>T290</f>
        <v>0</v>
      </c>
      <c r="U257" s="63">
        <f>U258</f>
        <v>12.68</v>
      </c>
      <c r="V257"/>
      <c r="W257" s="43">
        <v>2</v>
      </c>
      <c r="X257"/>
      <c r="Y257"/>
      <c r="Z257"/>
      <c r="AA257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38"/>
      <c r="AW257" s="38"/>
      <c r="AX257" s="38" t="s">
        <v>275</v>
      </c>
      <c r="AY257" s="38"/>
      <c r="AZ257" s="6"/>
      <c r="BA257" s="38"/>
      <c r="BB257" s="6"/>
      <c r="BC257" s="6"/>
      <c r="BD257" s="6"/>
      <c r="BE257" s="6"/>
      <c r="BF257" s="6"/>
      <c r="BG257" s="6"/>
      <c r="BH257" s="6"/>
      <c r="BI257" s="6"/>
      <c r="BJ257" s="6"/>
      <c r="BK257" s="6"/>
    </row>
    <row r="258" spans="1:63" s="19" customFormat="1" ht="15" x14ac:dyDescent="0.25">
      <c r="A258" s="59"/>
      <c r="B258" s="60"/>
      <c r="C258" s="102" t="s">
        <v>63</v>
      </c>
      <c r="D258" s="102"/>
      <c r="E258" s="102"/>
      <c r="F258" s="102"/>
      <c r="G258" s="102"/>
      <c r="H258" s="41"/>
      <c r="I258" s="42"/>
      <c r="J258" s="42"/>
      <c r="K258" s="42"/>
      <c r="L258" s="45"/>
      <c r="M258" s="42"/>
      <c r="N258" s="45"/>
      <c r="O258" s="42"/>
      <c r="P258" s="50">
        <v>14.581999999999999</v>
      </c>
      <c r="Q258"/>
      <c r="R258"/>
      <c r="S258"/>
      <c r="T258">
        <f>T290</f>
        <v>0</v>
      </c>
      <c r="U258" s="63">
        <f>12.68*(K257/W257)</f>
        <v>12.68</v>
      </c>
      <c r="V258"/>
      <c r="W258" s="42"/>
      <c r="X258"/>
      <c r="Y258"/>
      <c r="Z258"/>
      <c r="AA258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38"/>
      <c r="AW258" s="38"/>
      <c r="AX258" s="38"/>
      <c r="AY258" s="38"/>
      <c r="AZ258" s="6"/>
      <c r="BA258" s="38" t="s">
        <v>63</v>
      </c>
      <c r="BB258" s="6"/>
      <c r="BC258" s="6"/>
      <c r="BD258" s="6"/>
      <c r="BE258" s="6"/>
      <c r="BF258" s="6"/>
      <c r="BG258" s="6"/>
      <c r="BH258" s="6"/>
      <c r="BI258" s="6"/>
      <c r="BJ258" s="6"/>
      <c r="BK258" s="6"/>
    </row>
    <row r="259" spans="1:63" s="19" customFormat="1" ht="34.5" x14ac:dyDescent="0.25">
      <c r="A259" s="39" t="s">
        <v>276</v>
      </c>
      <c r="B259" s="40" t="s">
        <v>277</v>
      </c>
      <c r="C259" s="103" t="s">
        <v>278</v>
      </c>
      <c r="D259" s="103"/>
      <c r="E259" s="103"/>
      <c r="F259" s="103"/>
      <c r="G259" s="103"/>
      <c r="H259" s="41" t="s">
        <v>83</v>
      </c>
      <c r="I259" s="42">
        <v>6</v>
      </c>
      <c r="J259" s="43">
        <v>1</v>
      </c>
      <c r="K259" s="43">
        <v>6</v>
      </c>
      <c r="L259" s="61">
        <v>45.79</v>
      </c>
      <c r="M259" s="62">
        <v>1.01</v>
      </c>
      <c r="N259" s="61">
        <v>46.25</v>
      </c>
      <c r="O259" s="42"/>
      <c r="P259" s="50">
        <v>319.125</v>
      </c>
      <c r="Q259"/>
      <c r="R259"/>
      <c r="S259"/>
      <c r="T259">
        <f>T290</f>
        <v>0</v>
      </c>
      <c r="U259" s="63">
        <f>U260</f>
        <v>277.5</v>
      </c>
      <c r="V259"/>
      <c r="W259" s="43">
        <v>6</v>
      </c>
      <c r="X259"/>
      <c r="Y259"/>
      <c r="Z259"/>
      <c r="AA259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38"/>
      <c r="AW259" s="38"/>
      <c r="AX259" s="38" t="s">
        <v>278</v>
      </c>
      <c r="AY259" s="38"/>
      <c r="AZ259" s="6"/>
      <c r="BA259" s="38"/>
      <c r="BB259" s="6"/>
      <c r="BC259" s="6"/>
      <c r="BD259" s="6"/>
      <c r="BE259" s="6"/>
      <c r="BF259" s="6"/>
      <c r="BG259" s="6"/>
      <c r="BH259" s="6"/>
      <c r="BI259" s="6"/>
      <c r="BJ259" s="6"/>
      <c r="BK259" s="6"/>
    </row>
    <row r="260" spans="1:63" s="19" customFormat="1" ht="15" x14ac:dyDescent="0.25">
      <c r="A260" s="59"/>
      <c r="B260" s="60"/>
      <c r="C260" s="102" t="s">
        <v>63</v>
      </c>
      <c r="D260" s="102"/>
      <c r="E260" s="102"/>
      <c r="F260" s="102"/>
      <c r="G260" s="102"/>
      <c r="H260" s="41"/>
      <c r="I260" s="42"/>
      <c r="J260" s="42"/>
      <c r="K260" s="42"/>
      <c r="L260" s="45"/>
      <c r="M260" s="42"/>
      <c r="N260" s="45"/>
      <c r="O260" s="42"/>
      <c r="P260" s="50">
        <v>319.125</v>
      </c>
      <c r="Q260"/>
      <c r="R260"/>
      <c r="S260"/>
      <c r="T260">
        <f>T290</f>
        <v>0</v>
      </c>
      <c r="U260" s="63">
        <f>277.5*(K259/W259)</f>
        <v>277.5</v>
      </c>
      <c r="V260"/>
      <c r="W260" s="42"/>
      <c r="X260"/>
      <c r="Y260"/>
      <c r="Z260"/>
      <c r="AA260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38"/>
      <c r="AW260" s="38"/>
      <c r="AX260" s="38"/>
      <c r="AY260" s="38"/>
      <c r="AZ260" s="6"/>
      <c r="BA260" s="38" t="s">
        <v>63</v>
      </c>
      <c r="BB260" s="6"/>
      <c r="BC260" s="6"/>
      <c r="BD260" s="6"/>
      <c r="BE260" s="6"/>
      <c r="BF260" s="6"/>
      <c r="BG260" s="6"/>
      <c r="BH260" s="6"/>
      <c r="BI260" s="6"/>
      <c r="BJ260" s="6"/>
      <c r="BK260" s="6"/>
    </row>
    <row r="261" spans="1:63" s="19" customFormat="1" ht="15" x14ac:dyDescent="0.25">
      <c r="A261" s="39" t="s">
        <v>279</v>
      </c>
      <c r="B261" s="40" t="s">
        <v>280</v>
      </c>
      <c r="C261" s="103" t="s">
        <v>281</v>
      </c>
      <c r="D261" s="103"/>
      <c r="E261" s="103"/>
      <c r="F261" s="103"/>
      <c r="G261" s="103"/>
      <c r="H261" s="41" t="s">
        <v>75</v>
      </c>
      <c r="I261" s="42">
        <v>0.04</v>
      </c>
      <c r="J261" s="43">
        <v>1</v>
      </c>
      <c r="K261" s="62">
        <v>0.04</v>
      </c>
      <c r="L261" s="45"/>
      <c r="M261" s="42"/>
      <c r="N261" s="45"/>
      <c r="O261" s="42"/>
      <c r="P261" s="50"/>
      <c r="Q261"/>
      <c r="R261"/>
      <c r="S261"/>
      <c r="T261">
        <f>T290</f>
        <v>0</v>
      </c>
      <c r="U261" s="46"/>
      <c r="V261"/>
      <c r="W261" s="62">
        <v>0.02</v>
      </c>
      <c r="X261"/>
      <c r="Y261"/>
      <c r="Z261"/>
      <c r="AA261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38"/>
      <c r="AW261" s="38"/>
      <c r="AX261" s="38" t="s">
        <v>281</v>
      </c>
      <c r="AY261" s="38"/>
      <c r="AZ261" s="6"/>
      <c r="BA261" s="38"/>
      <c r="BB261" s="6"/>
      <c r="BC261" s="6"/>
      <c r="BD261" s="6"/>
      <c r="BE261" s="6"/>
      <c r="BF261" s="6"/>
      <c r="BG261" s="6"/>
      <c r="BH261" s="6"/>
      <c r="BI261" s="6"/>
      <c r="BJ261" s="6"/>
      <c r="BK261" s="6"/>
    </row>
    <row r="262" spans="1:63" s="19" customFormat="1" ht="15" x14ac:dyDescent="0.25">
      <c r="A262" s="47"/>
      <c r="B262" s="48"/>
      <c r="C262" s="102" t="s">
        <v>56</v>
      </c>
      <c r="D262" s="102"/>
      <c r="E262" s="102"/>
      <c r="F262" s="102"/>
      <c r="G262" s="102"/>
      <c r="H262" s="41"/>
      <c r="I262" s="42"/>
      <c r="J262" s="42"/>
      <c r="K262" s="42"/>
      <c r="L262" s="45"/>
      <c r="M262" s="42"/>
      <c r="N262" s="49"/>
      <c r="O262" s="42"/>
      <c r="P262" s="50">
        <v>2405.2824999999998</v>
      </c>
      <c r="Q262" s="51"/>
      <c r="R262" s="51"/>
      <c r="S262"/>
      <c r="T262">
        <f>T290</f>
        <v>0</v>
      </c>
      <c r="U262" s="50">
        <v>2091.5500000000002</v>
      </c>
      <c r="V262"/>
      <c r="W262" s="42"/>
      <c r="X262"/>
      <c r="Y262"/>
      <c r="Z262"/>
      <c r="AA262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38"/>
      <c r="AW262" s="38"/>
      <c r="AX262" s="38"/>
      <c r="AY262" s="38" t="s">
        <v>56</v>
      </c>
      <c r="AZ262" s="6"/>
      <c r="BA262" s="38"/>
      <c r="BB262" s="6"/>
      <c r="BC262" s="6"/>
      <c r="BD262" s="6"/>
      <c r="BE262" s="6"/>
      <c r="BF262" s="6"/>
      <c r="BG262" s="6"/>
      <c r="BH262" s="6"/>
      <c r="BI262" s="6"/>
      <c r="BJ262" s="6"/>
      <c r="BK262" s="6"/>
    </row>
    <row r="263" spans="1:63" s="19" customFormat="1" ht="15" x14ac:dyDescent="0.25">
      <c r="A263" s="52"/>
      <c r="B263" s="53"/>
      <c r="C263" s="104" t="s">
        <v>57</v>
      </c>
      <c r="D263" s="104"/>
      <c r="E263" s="104"/>
      <c r="F263" s="104"/>
      <c r="G263" s="104"/>
      <c r="H263" s="54"/>
      <c r="I263" s="55"/>
      <c r="J263" s="55"/>
      <c r="K263" s="55"/>
      <c r="L263" s="56"/>
      <c r="M263" s="55"/>
      <c r="N263" s="56"/>
      <c r="O263" s="55"/>
      <c r="P263" s="77">
        <v>1917.7860000000001</v>
      </c>
      <c r="Q263"/>
      <c r="R263"/>
      <c r="S263"/>
      <c r="T263">
        <f>T290</f>
        <v>0</v>
      </c>
      <c r="U263" s="57">
        <v>1667.64</v>
      </c>
      <c r="V263"/>
      <c r="W263" s="55"/>
      <c r="X263"/>
      <c r="Y263"/>
      <c r="Z263"/>
      <c r="AA263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38"/>
      <c r="AW263" s="38"/>
      <c r="AX263" s="38"/>
      <c r="AY263" s="38"/>
      <c r="AZ263" s="6" t="s">
        <v>57</v>
      </c>
      <c r="BA263" s="38"/>
      <c r="BB263" s="6"/>
      <c r="BC263" s="6"/>
      <c r="BD263" s="6"/>
      <c r="BE263" s="6"/>
      <c r="BF263" s="6"/>
      <c r="BG263" s="6"/>
      <c r="BH263" s="6"/>
      <c r="BI263" s="6"/>
      <c r="BJ263" s="6"/>
      <c r="BK263" s="6"/>
    </row>
    <row r="264" spans="1:63" s="19" customFormat="1" ht="34.5" x14ac:dyDescent="0.25">
      <c r="A264" s="52"/>
      <c r="B264" s="53" t="s">
        <v>225</v>
      </c>
      <c r="C264" s="104" t="s">
        <v>226</v>
      </c>
      <c r="D264" s="104"/>
      <c r="E264" s="104"/>
      <c r="F264" s="104"/>
      <c r="G264" s="104"/>
      <c r="H264" s="54" t="s">
        <v>60</v>
      </c>
      <c r="I264" s="58">
        <v>103</v>
      </c>
      <c r="J264" s="55"/>
      <c r="K264" s="58">
        <v>103</v>
      </c>
      <c r="L264" s="56"/>
      <c r="M264" s="55"/>
      <c r="N264" s="56"/>
      <c r="O264" s="55"/>
      <c r="P264" s="77">
        <v>1975.3205</v>
      </c>
      <c r="Q264"/>
      <c r="R264"/>
      <c r="S264"/>
      <c r="T264">
        <f>T290</f>
        <v>0</v>
      </c>
      <c r="U264" s="57">
        <v>1717.67</v>
      </c>
      <c r="V264"/>
      <c r="W264" s="58">
        <v>103</v>
      </c>
      <c r="X264"/>
      <c r="Y264"/>
      <c r="Z264"/>
      <c r="AA264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38"/>
      <c r="AW264" s="38"/>
      <c r="AX264" s="38"/>
      <c r="AY264" s="38"/>
      <c r="AZ264" s="6" t="s">
        <v>226</v>
      </c>
      <c r="BA264" s="38"/>
      <c r="BB264" s="6"/>
      <c r="BC264" s="6"/>
      <c r="BD264" s="6"/>
      <c r="BE264" s="6"/>
      <c r="BF264" s="6"/>
      <c r="BG264" s="6"/>
      <c r="BH264" s="6"/>
      <c r="BI264" s="6"/>
      <c r="BJ264" s="6"/>
      <c r="BK264" s="6"/>
    </row>
    <row r="265" spans="1:63" s="19" customFormat="1" ht="34.5" x14ac:dyDescent="0.25">
      <c r="A265" s="52"/>
      <c r="B265" s="53" t="s">
        <v>227</v>
      </c>
      <c r="C265" s="104" t="s">
        <v>228</v>
      </c>
      <c r="D265" s="104"/>
      <c r="E265" s="104"/>
      <c r="F265" s="104"/>
      <c r="G265" s="104"/>
      <c r="H265" s="54" t="s">
        <v>60</v>
      </c>
      <c r="I265" s="58">
        <v>52</v>
      </c>
      <c r="J265" s="55"/>
      <c r="K265" s="58">
        <v>52</v>
      </c>
      <c r="L265" s="56"/>
      <c r="M265" s="55"/>
      <c r="N265" s="56"/>
      <c r="O265" s="55"/>
      <c r="P265" s="77">
        <v>997.24549999999988</v>
      </c>
      <c r="Q265"/>
      <c r="R265"/>
      <c r="S265"/>
      <c r="T265">
        <f>T290</f>
        <v>0</v>
      </c>
      <c r="U265" s="65">
        <v>867.17</v>
      </c>
      <c r="V265"/>
      <c r="W265" s="58">
        <v>52</v>
      </c>
      <c r="X265"/>
      <c r="Y265"/>
      <c r="Z265"/>
      <c r="AA265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38"/>
      <c r="AW265" s="38"/>
      <c r="AX265" s="38"/>
      <c r="AY265" s="38"/>
      <c r="AZ265" s="6" t="s">
        <v>228</v>
      </c>
      <c r="BA265" s="38"/>
      <c r="BB265" s="6"/>
      <c r="BC265" s="6"/>
      <c r="BD265" s="6"/>
      <c r="BE265" s="6"/>
      <c r="BF265" s="6"/>
      <c r="BG265" s="6"/>
      <c r="BH265" s="6"/>
      <c r="BI265" s="6"/>
      <c r="BJ265" s="6"/>
      <c r="BK265" s="6"/>
    </row>
    <row r="266" spans="1:63" s="19" customFormat="1" ht="15" x14ac:dyDescent="0.25">
      <c r="A266" s="59"/>
      <c r="B266" s="60"/>
      <c r="C266" s="102" t="s">
        <v>63</v>
      </c>
      <c r="D266" s="102"/>
      <c r="E266" s="102"/>
      <c r="F266" s="102"/>
      <c r="G266" s="102"/>
      <c r="H266" s="41"/>
      <c r="I266" s="42"/>
      <c r="J266" s="42"/>
      <c r="K266" s="42"/>
      <c r="L266" s="45"/>
      <c r="M266" s="42"/>
      <c r="N266" s="49">
        <v>233819.5</v>
      </c>
      <c r="O266" s="42"/>
      <c r="P266" s="50">
        <v>8066.7727500000001</v>
      </c>
      <c r="Q266"/>
      <c r="R266"/>
      <c r="S266"/>
      <c r="T266">
        <f>T290</f>
        <v>0</v>
      </c>
      <c r="U266" s="50">
        <f>4676.39*(K261/W261)</f>
        <v>9352.7800000000007</v>
      </c>
      <c r="V266"/>
      <c r="W266" s="42"/>
      <c r="X266"/>
      <c r="Y266"/>
      <c r="Z266"/>
      <c r="AA26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38"/>
      <c r="AW266" s="38"/>
      <c r="AX266" s="38"/>
      <c r="AY266" s="38"/>
      <c r="AZ266" s="6"/>
      <c r="BA266" s="38" t="s">
        <v>63</v>
      </c>
      <c r="BB266" s="6"/>
      <c r="BC266" s="6"/>
      <c r="BD266" s="6"/>
      <c r="BE266" s="6"/>
      <c r="BF266" s="6"/>
      <c r="BG266" s="6"/>
      <c r="BH266" s="6"/>
      <c r="BI266" s="6"/>
      <c r="BJ266" s="6"/>
      <c r="BK266" s="6"/>
    </row>
    <row r="267" spans="1:63" s="19" customFormat="1" ht="34.5" x14ac:dyDescent="0.25">
      <c r="A267" s="39" t="s">
        <v>282</v>
      </c>
      <c r="B267" s="40" t="s">
        <v>283</v>
      </c>
      <c r="C267" s="103" t="s">
        <v>284</v>
      </c>
      <c r="D267" s="103"/>
      <c r="E267" s="103"/>
      <c r="F267" s="103"/>
      <c r="G267" s="103"/>
      <c r="H267" s="41" t="s">
        <v>222</v>
      </c>
      <c r="I267" s="42">
        <v>4</v>
      </c>
      <c r="J267" s="43">
        <v>1</v>
      </c>
      <c r="K267" s="43">
        <v>4</v>
      </c>
      <c r="L267" s="49">
        <v>1181.19</v>
      </c>
      <c r="M267" s="62">
        <v>1.46</v>
      </c>
      <c r="N267" s="49">
        <v>1724.54</v>
      </c>
      <c r="O267" s="42"/>
      <c r="P267" s="50">
        <v>7932.8839999999991</v>
      </c>
      <c r="Q267"/>
      <c r="R267"/>
      <c r="S267"/>
      <c r="T267">
        <f>T290</f>
        <v>0</v>
      </c>
      <c r="U267" s="50">
        <f>U268</f>
        <v>6898.16</v>
      </c>
      <c r="V267"/>
      <c r="W267" s="43">
        <v>2</v>
      </c>
      <c r="X267"/>
      <c r="Y267"/>
      <c r="Z267"/>
      <c r="AA267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38"/>
      <c r="AW267" s="38"/>
      <c r="AX267" s="38" t="s">
        <v>284</v>
      </c>
      <c r="AY267" s="38"/>
      <c r="AZ267" s="6"/>
      <c r="BA267" s="38"/>
      <c r="BB267" s="6"/>
      <c r="BC267" s="6"/>
      <c r="BD267" s="6"/>
      <c r="BE267" s="6"/>
      <c r="BF267" s="6"/>
      <c r="BG267" s="6"/>
      <c r="BH267" s="6"/>
      <c r="BI267" s="6"/>
      <c r="BJ267" s="6"/>
      <c r="BK267" s="6"/>
    </row>
    <row r="268" spans="1:63" s="19" customFormat="1" ht="15" x14ac:dyDescent="0.25">
      <c r="A268" s="59"/>
      <c r="B268" s="60"/>
      <c r="C268" s="102" t="s">
        <v>63</v>
      </c>
      <c r="D268" s="102"/>
      <c r="E268" s="102"/>
      <c r="F268" s="102"/>
      <c r="G268" s="102"/>
      <c r="H268" s="41"/>
      <c r="I268" s="42"/>
      <c r="J268" s="42"/>
      <c r="K268" s="42"/>
      <c r="L268" s="45"/>
      <c r="M268" s="42"/>
      <c r="N268" s="45"/>
      <c r="O268" s="42"/>
      <c r="P268" s="50">
        <v>7932.8839999999991</v>
      </c>
      <c r="Q268"/>
      <c r="R268"/>
      <c r="S268"/>
      <c r="T268">
        <f>T290</f>
        <v>0</v>
      </c>
      <c r="U268" s="50">
        <f>3449.08*(K267/W267)</f>
        <v>6898.16</v>
      </c>
      <c r="V268"/>
      <c r="W268"/>
      <c r="X268"/>
      <c r="Y268"/>
      <c r="Z268"/>
      <c r="AA268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38"/>
      <c r="AW268" s="38"/>
      <c r="AX268" s="38"/>
      <c r="AY268" s="38"/>
      <c r="AZ268" s="6"/>
      <c r="BA268" s="38" t="s">
        <v>63</v>
      </c>
      <c r="BB268" s="6"/>
      <c r="BC268" s="6"/>
      <c r="BD268" s="6"/>
      <c r="BE268" s="6"/>
      <c r="BF268" s="6"/>
      <c r="BG268" s="6"/>
      <c r="BH268" s="6"/>
      <c r="BI268" s="6"/>
      <c r="BJ268" s="6"/>
      <c r="BK268" s="6"/>
    </row>
    <row r="269" spans="1:63" s="19" customFormat="1" ht="34.5" x14ac:dyDescent="0.25">
      <c r="A269" s="39" t="s">
        <v>285</v>
      </c>
      <c r="B269" s="40" t="s">
        <v>287</v>
      </c>
      <c r="C269" s="103" t="s">
        <v>288</v>
      </c>
      <c r="D269" s="103"/>
      <c r="E269" s="103"/>
      <c r="F269" s="103"/>
      <c r="G269" s="103"/>
      <c r="H269" s="41" t="s">
        <v>222</v>
      </c>
      <c r="I269" s="42">
        <v>4</v>
      </c>
      <c r="J269" s="43">
        <v>1</v>
      </c>
      <c r="K269" s="43">
        <v>4</v>
      </c>
      <c r="L269" s="49">
        <v>1164.77</v>
      </c>
      <c r="M269" s="62">
        <v>1.1299999999999999</v>
      </c>
      <c r="N269" s="49">
        <v>2316.19</v>
      </c>
      <c r="O269" s="42"/>
      <c r="P269" s="50">
        <v>10054.48</v>
      </c>
      <c r="Q269"/>
      <c r="R269"/>
      <c r="S269"/>
      <c r="T269">
        <f>T290</f>
        <v>0</v>
      </c>
      <c r="U269" s="50">
        <f>U270</f>
        <v>5264.76</v>
      </c>
      <c r="V269"/>
      <c r="W269" s="43">
        <v>2</v>
      </c>
      <c r="X269"/>
      <c r="Y269"/>
      <c r="Z269"/>
      <c r="AA269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38"/>
      <c r="AW269" s="38"/>
      <c r="AX269" s="38" t="s">
        <v>288</v>
      </c>
      <c r="AY269" s="38"/>
      <c r="AZ269" s="6"/>
      <c r="BA269" s="38"/>
      <c r="BB269" s="6"/>
      <c r="BC269" s="6"/>
      <c r="BD269" s="6"/>
      <c r="BE269" s="6"/>
      <c r="BF269" s="6"/>
      <c r="BG269" s="6"/>
      <c r="BH269" s="6"/>
      <c r="BI269" s="6"/>
      <c r="BJ269" s="6"/>
      <c r="BK269" s="6"/>
    </row>
    <row r="270" spans="1:63" s="19" customFormat="1" ht="15" x14ac:dyDescent="0.25">
      <c r="A270" s="59"/>
      <c r="B270" s="60"/>
      <c r="C270" s="102" t="s">
        <v>63</v>
      </c>
      <c r="D270" s="102"/>
      <c r="E270" s="102"/>
      <c r="F270" s="102"/>
      <c r="G270" s="102"/>
      <c r="H270" s="41"/>
      <c r="I270" s="42"/>
      <c r="J270" s="42"/>
      <c r="K270" s="42"/>
      <c r="L270" s="45"/>
      <c r="M270" s="42"/>
      <c r="N270" s="45"/>
      <c r="O270" s="42"/>
      <c r="P270" s="50">
        <f>P269</f>
        <v>10054.48</v>
      </c>
      <c r="Q270"/>
      <c r="R270"/>
      <c r="S270"/>
      <c r="T270">
        <f>T290</f>
        <v>0</v>
      </c>
      <c r="U270" s="50">
        <f>2632.38*(K269/W269)</f>
        <v>5264.76</v>
      </c>
      <c r="V270"/>
      <c r="W270" s="42"/>
      <c r="X270"/>
      <c r="Y270"/>
      <c r="Z270"/>
      <c r="AA270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38"/>
      <c r="AW270" s="38"/>
      <c r="AX270" s="38"/>
      <c r="AY270" s="38"/>
      <c r="AZ270" s="6"/>
      <c r="BA270" s="38" t="s">
        <v>63</v>
      </c>
      <c r="BB270" s="6"/>
      <c r="BC270" s="6"/>
      <c r="BD270" s="6"/>
      <c r="BE270" s="6"/>
      <c r="BF270" s="6"/>
      <c r="BG270" s="6"/>
      <c r="BH270" s="6"/>
      <c r="BI270" s="6"/>
      <c r="BJ270" s="6"/>
      <c r="BK270" s="6"/>
    </row>
    <row r="271" spans="1:63" s="19" customFormat="1" ht="23.25" x14ac:dyDescent="0.25">
      <c r="A271" s="39" t="s">
        <v>286</v>
      </c>
      <c r="B271" s="40" t="s">
        <v>290</v>
      </c>
      <c r="C271" s="103" t="s">
        <v>291</v>
      </c>
      <c r="D271" s="103"/>
      <c r="E271" s="103"/>
      <c r="F271" s="103"/>
      <c r="G271" s="103"/>
      <c r="H271" s="41" t="s">
        <v>292</v>
      </c>
      <c r="I271" s="42">
        <v>1</v>
      </c>
      <c r="J271" s="43">
        <v>1</v>
      </c>
      <c r="K271" s="67">
        <v>1</v>
      </c>
      <c r="L271" s="61">
        <v>565.04999999999995</v>
      </c>
      <c r="M271" s="62">
        <v>1.1299999999999999</v>
      </c>
      <c r="N271" s="61">
        <v>638.51</v>
      </c>
      <c r="O271" s="42"/>
      <c r="P271" s="50">
        <v>734.27499999999998</v>
      </c>
      <c r="Q271"/>
      <c r="R271"/>
      <c r="S271"/>
      <c r="T271">
        <f>T290</f>
        <v>0</v>
      </c>
      <c r="U271" s="63">
        <f>U272</f>
        <v>638.5</v>
      </c>
      <c r="V271"/>
      <c r="W271" s="67">
        <v>0.4</v>
      </c>
      <c r="X271"/>
      <c r="Y271"/>
      <c r="Z271"/>
      <c r="AA271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38"/>
      <c r="AW271" s="38"/>
      <c r="AX271" s="38" t="s">
        <v>291</v>
      </c>
      <c r="AY271" s="38"/>
      <c r="AZ271" s="6"/>
      <c r="BA271" s="38"/>
      <c r="BB271" s="6"/>
      <c r="BC271" s="6"/>
      <c r="BD271" s="6"/>
      <c r="BE271" s="6"/>
      <c r="BF271" s="6"/>
      <c r="BG271" s="6"/>
      <c r="BH271" s="6"/>
      <c r="BI271" s="6"/>
      <c r="BJ271" s="6"/>
      <c r="BK271" s="6"/>
    </row>
    <row r="272" spans="1:63" s="19" customFormat="1" ht="15" x14ac:dyDescent="0.25">
      <c r="A272" s="59"/>
      <c r="B272" s="60"/>
      <c r="C272" s="102" t="s">
        <v>63</v>
      </c>
      <c r="D272" s="102"/>
      <c r="E272" s="102"/>
      <c r="F272" s="102"/>
      <c r="G272" s="102"/>
      <c r="H272" s="41"/>
      <c r="I272" s="42"/>
      <c r="J272" s="42"/>
      <c r="K272" s="42"/>
      <c r="L272" s="45"/>
      <c r="M272" s="42"/>
      <c r="N272" s="45"/>
      <c r="O272" s="42"/>
      <c r="P272" s="50">
        <v>734.27499999999998</v>
      </c>
      <c r="Q272"/>
      <c r="R272"/>
      <c r="S272"/>
      <c r="T272">
        <f>T290</f>
        <v>0</v>
      </c>
      <c r="U272" s="63">
        <f>255.4*(K271/W271)</f>
        <v>638.5</v>
      </c>
      <c r="V272"/>
      <c r="W272" s="42"/>
      <c r="X272"/>
      <c r="Y272"/>
      <c r="Z272"/>
      <c r="AA272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38"/>
      <c r="AW272" s="38"/>
      <c r="AX272" s="38"/>
      <c r="AY272" s="38"/>
      <c r="AZ272" s="6"/>
      <c r="BA272" s="38" t="s">
        <v>63</v>
      </c>
      <c r="BB272" s="6"/>
      <c r="BC272" s="6"/>
      <c r="BD272" s="6"/>
      <c r="BE272" s="6"/>
      <c r="BF272" s="6"/>
      <c r="BG272" s="6"/>
      <c r="BH272" s="6"/>
      <c r="BI272" s="6"/>
      <c r="BJ272" s="6"/>
      <c r="BK272" s="6"/>
    </row>
    <row r="273" spans="1:63" s="19" customFormat="1" ht="23.25" x14ac:dyDescent="0.25">
      <c r="A273" s="39" t="s">
        <v>289</v>
      </c>
      <c r="B273" s="40" t="s">
        <v>294</v>
      </c>
      <c r="C273" s="103" t="s">
        <v>295</v>
      </c>
      <c r="D273" s="103"/>
      <c r="E273" s="103"/>
      <c r="F273" s="103"/>
      <c r="G273" s="103"/>
      <c r="H273" s="41" t="s">
        <v>83</v>
      </c>
      <c r="I273" s="42">
        <v>11</v>
      </c>
      <c r="J273" s="43">
        <v>1</v>
      </c>
      <c r="K273" s="43">
        <v>11</v>
      </c>
      <c r="L273" s="61">
        <v>279.64999999999998</v>
      </c>
      <c r="M273" s="62">
        <v>1.36</v>
      </c>
      <c r="N273" s="61">
        <v>380.32</v>
      </c>
      <c r="O273" s="42"/>
      <c r="P273" s="50">
        <v>9622.0959999999977</v>
      </c>
      <c r="Q273"/>
      <c r="R273"/>
      <c r="S273"/>
      <c r="T273">
        <f>T290</f>
        <v>0</v>
      </c>
      <c r="U273" s="50">
        <f>U274</f>
        <v>8367.0399999999991</v>
      </c>
      <c r="V273"/>
      <c r="W273" s="43">
        <v>6</v>
      </c>
      <c r="X273"/>
      <c r="Y273"/>
      <c r="Z273"/>
      <c r="AA273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38"/>
      <c r="AW273" s="38"/>
      <c r="AX273" s="38" t="s">
        <v>295</v>
      </c>
      <c r="AY273" s="38"/>
      <c r="AZ273" s="6"/>
      <c r="BA273" s="38"/>
      <c r="BB273" s="6"/>
      <c r="BC273" s="6"/>
      <c r="BD273" s="6"/>
      <c r="BE273" s="6"/>
      <c r="BF273" s="6"/>
      <c r="BG273" s="6"/>
      <c r="BH273" s="6"/>
      <c r="BI273" s="6"/>
      <c r="BJ273" s="6"/>
      <c r="BK273" s="6"/>
    </row>
    <row r="274" spans="1:63" s="19" customFormat="1" ht="15" x14ac:dyDescent="0.25">
      <c r="A274" s="59"/>
      <c r="B274" s="60"/>
      <c r="C274" s="102" t="s">
        <v>63</v>
      </c>
      <c r="D274" s="102"/>
      <c r="E274" s="102"/>
      <c r="F274" s="102"/>
      <c r="G274" s="102"/>
      <c r="H274" s="41"/>
      <c r="I274" s="42"/>
      <c r="J274" s="42"/>
      <c r="K274" s="42"/>
      <c r="L274" s="45"/>
      <c r="M274" s="42"/>
      <c r="N274" s="45"/>
      <c r="O274" s="42"/>
      <c r="P274" s="50">
        <v>9622.0959999999977</v>
      </c>
      <c r="Q274"/>
      <c r="R274"/>
      <c r="S274"/>
      <c r="T274">
        <f>T290</f>
        <v>0</v>
      </c>
      <c r="U274" s="50">
        <f>2281.92*2*(K273/W273)</f>
        <v>8367.0399999999991</v>
      </c>
      <c r="V274"/>
      <c r="W274"/>
      <c r="X274"/>
      <c r="Y274"/>
      <c r="Z274"/>
      <c r="AA274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38"/>
      <c r="AW274" s="38"/>
      <c r="AX274" s="38"/>
      <c r="AY274" s="38"/>
      <c r="AZ274" s="6"/>
      <c r="BA274" s="38" t="s">
        <v>63</v>
      </c>
      <c r="BB274" s="6"/>
      <c r="BC274" s="6"/>
      <c r="BD274" s="6"/>
      <c r="BE274" s="6"/>
      <c r="BF274" s="6"/>
      <c r="BG274" s="6"/>
      <c r="BH274" s="6"/>
      <c r="BI274" s="6"/>
      <c r="BJ274" s="6"/>
      <c r="BK274" s="6"/>
    </row>
    <row r="275" spans="1:63" s="19" customFormat="1" ht="0" hidden="1" customHeight="1" x14ac:dyDescent="0.25">
      <c r="A275" s="70"/>
      <c r="B275" s="71"/>
      <c r="C275" s="71"/>
      <c r="D275" s="71"/>
      <c r="E275" s="71"/>
      <c r="F275" s="72"/>
      <c r="G275" s="72"/>
      <c r="H275" s="72"/>
      <c r="I275" s="72"/>
      <c r="J275" s="73"/>
      <c r="K275" s="72"/>
      <c r="L275" s="72"/>
      <c r="M275" s="72"/>
      <c r="N275" s="73"/>
      <c r="O275" s="74"/>
      <c r="P275" s="50">
        <f t="shared" ref="P275" si="1">T275*U275</f>
        <v>0</v>
      </c>
      <c r="Q275"/>
      <c r="R275"/>
      <c r="S275"/>
      <c r="T275"/>
      <c r="U275" s="73"/>
      <c r="V275"/>
      <c r="W275"/>
      <c r="X275"/>
      <c r="Y275"/>
      <c r="Z275"/>
      <c r="AA275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38"/>
      <c r="AW275" s="38"/>
      <c r="AX275" s="38"/>
      <c r="AY275" s="38"/>
      <c r="AZ275" s="6"/>
      <c r="BA275" s="38"/>
      <c r="BB275" s="6"/>
      <c r="BC275" s="6"/>
      <c r="BD275" s="6"/>
      <c r="BE275" s="6"/>
      <c r="BF275" s="6"/>
      <c r="BG275" s="6"/>
      <c r="BH275" s="6"/>
      <c r="BI275" s="6"/>
      <c r="BJ275" s="6"/>
      <c r="BK275" s="6"/>
    </row>
    <row r="276" spans="1:63" s="19" customFormat="1" ht="15" x14ac:dyDescent="0.25">
      <c r="A276" s="39" t="s">
        <v>293</v>
      </c>
      <c r="B276" s="92" t="s">
        <v>313</v>
      </c>
      <c r="C276" s="103" t="s">
        <v>312</v>
      </c>
      <c r="D276" s="103"/>
      <c r="E276" s="103"/>
      <c r="F276" s="103"/>
      <c r="G276" s="103"/>
      <c r="H276" s="41" t="s">
        <v>75</v>
      </c>
      <c r="I276" s="42">
        <v>0.02</v>
      </c>
      <c r="J276" s="43">
        <v>1</v>
      </c>
      <c r="K276" s="62">
        <v>0.02</v>
      </c>
      <c r="L276" s="45"/>
      <c r="M276" s="42"/>
      <c r="N276" s="45"/>
      <c r="O276" s="42"/>
      <c r="P276" s="50"/>
      <c r="Q276"/>
      <c r="R276"/>
      <c r="S276"/>
      <c r="T276">
        <f>T274</f>
        <v>0</v>
      </c>
      <c r="U276" s="46"/>
      <c r="V276"/>
      <c r="W276" s="62">
        <v>0.02</v>
      </c>
      <c r="X276"/>
      <c r="Y276"/>
      <c r="Z276"/>
      <c r="AA27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38"/>
      <c r="AW276" s="38"/>
      <c r="AX276" s="38" t="s">
        <v>281</v>
      </c>
      <c r="AY276" s="38"/>
      <c r="AZ276" s="6"/>
      <c r="BA276" s="38"/>
      <c r="BB276" s="6"/>
      <c r="BC276" s="6"/>
      <c r="BD276" s="6"/>
      <c r="BE276" s="6"/>
      <c r="BF276" s="6"/>
      <c r="BG276" s="6"/>
      <c r="BH276" s="6"/>
      <c r="BI276" s="6"/>
      <c r="BJ276" s="6"/>
      <c r="BK276" s="6"/>
    </row>
    <row r="277" spans="1:63" s="19" customFormat="1" ht="15" x14ac:dyDescent="0.25">
      <c r="A277" s="47"/>
      <c r="B277" s="48"/>
      <c r="C277" s="102" t="s">
        <v>56</v>
      </c>
      <c r="D277" s="102"/>
      <c r="E277" s="102"/>
      <c r="F277" s="102"/>
      <c r="G277" s="102"/>
      <c r="H277" s="41"/>
      <c r="I277" s="42"/>
      <c r="J277" s="42"/>
      <c r="K277" s="42"/>
      <c r="L277" s="45"/>
      <c r="M277" s="42"/>
      <c r="N277" s="49"/>
      <c r="O277" s="42"/>
      <c r="P277" s="50">
        <v>2405.2824999999998</v>
      </c>
      <c r="Q277" s="51"/>
      <c r="R277" s="51"/>
      <c r="S277"/>
      <c r="T277">
        <f>T276</f>
        <v>0</v>
      </c>
      <c r="U277" s="50">
        <v>2091.5500000000002</v>
      </c>
      <c r="V277"/>
      <c r="W277" s="42"/>
      <c r="X277"/>
      <c r="Y277"/>
      <c r="Z277"/>
      <c r="AA277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38"/>
      <c r="AW277" s="38"/>
      <c r="AX277" s="38"/>
      <c r="AY277" s="38" t="s">
        <v>56</v>
      </c>
      <c r="AZ277" s="6"/>
      <c r="BA277" s="38"/>
      <c r="BB277" s="6"/>
      <c r="BC277" s="6"/>
      <c r="BD277" s="6"/>
      <c r="BE277" s="6"/>
      <c r="BF277" s="6"/>
      <c r="BG277" s="6"/>
      <c r="BH277" s="6"/>
      <c r="BI277" s="6"/>
      <c r="BJ277" s="6"/>
      <c r="BK277" s="6"/>
    </row>
    <row r="278" spans="1:63" s="19" customFormat="1" ht="15" x14ac:dyDescent="0.25">
      <c r="A278" s="52"/>
      <c r="B278" s="53"/>
      <c r="C278" s="104" t="s">
        <v>57</v>
      </c>
      <c r="D278" s="104"/>
      <c r="E278" s="104"/>
      <c r="F278" s="104"/>
      <c r="G278" s="104"/>
      <c r="H278" s="54"/>
      <c r="I278" s="55"/>
      <c r="J278" s="55"/>
      <c r="K278" s="55"/>
      <c r="L278" s="56"/>
      <c r="M278" s="55"/>
      <c r="N278" s="56"/>
      <c r="O278" s="55"/>
      <c r="P278" s="77">
        <v>1917.7860000000001</v>
      </c>
      <c r="Q278"/>
      <c r="R278"/>
      <c r="S278"/>
      <c r="T278">
        <f t="shared" ref="T278:T282" si="2">T277</f>
        <v>0</v>
      </c>
      <c r="U278" s="57">
        <v>1667.64</v>
      </c>
      <c r="V278"/>
      <c r="W278" s="55"/>
      <c r="X278"/>
      <c r="Y278"/>
      <c r="Z278"/>
      <c r="AA278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38"/>
      <c r="AW278" s="38"/>
      <c r="AX278" s="38"/>
      <c r="AY278" s="38"/>
      <c r="AZ278" s="6" t="s">
        <v>57</v>
      </c>
      <c r="BA278" s="38"/>
      <c r="BB278" s="6"/>
      <c r="BC278" s="6"/>
      <c r="BD278" s="6"/>
      <c r="BE278" s="6"/>
      <c r="BF278" s="6"/>
      <c r="BG278" s="6"/>
      <c r="BH278" s="6"/>
      <c r="BI278" s="6"/>
      <c r="BJ278" s="6"/>
      <c r="BK278" s="6"/>
    </row>
    <row r="279" spans="1:63" s="19" customFormat="1" ht="34.5" x14ac:dyDescent="0.25">
      <c r="A279" s="52"/>
      <c r="B279" s="53" t="s">
        <v>225</v>
      </c>
      <c r="C279" s="104" t="s">
        <v>226</v>
      </c>
      <c r="D279" s="104"/>
      <c r="E279" s="104"/>
      <c r="F279" s="104"/>
      <c r="G279" s="104"/>
      <c r="H279" s="54" t="s">
        <v>60</v>
      </c>
      <c r="I279" s="58">
        <v>103</v>
      </c>
      <c r="J279" s="55"/>
      <c r="K279" s="58">
        <v>103</v>
      </c>
      <c r="L279" s="56"/>
      <c r="M279" s="55"/>
      <c r="N279" s="56"/>
      <c r="O279" s="55"/>
      <c r="P279" s="77">
        <v>1975.3205</v>
      </c>
      <c r="Q279"/>
      <c r="R279"/>
      <c r="S279"/>
      <c r="T279">
        <f t="shared" si="2"/>
        <v>0</v>
      </c>
      <c r="U279" s="57">
        <v>1717.67</v>
      </c>
      <c r="V279"/>
      <c r="W279" s="58">
        <v>103</v>
      </c>
      <c r="X279"/>
      <c r="Y279"/>
      <c r="Z279"/>
      <c r="AA279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38"/>
      <c r="AW279" s="38"/>
      <c r="AX279" s="38"/>
      <c r="AY279" s="38"/>
      <c r="AZ279" s="6" t="s">
        <v>226</v>
      </c>
      <c r="BA279" s="38"/>
      <c r="BB279" s="6"/>
      <c r="BC279" s="6"/>
      <c r="BD279" s="6"/>
      <c r="BE279" s="6"/>
      <c r="BF279" s="6"/>
      <c r="BG279" s="6"/>
      <c r="BH279" s="6"/>
      <c r="BI279" s="6"/>
      <c r="BJ279" s="6"/>
      <c r="BK279" s="6"/>
    </row>
    <row r="280" spans="1:63" s="19" customFormat="1" ht="34.5" x14ac:dyDescent="0.25">
      <c r="A280" s="52"/>
      <c r="B280" s="53" t="s">
        <v>227</v>
      </c>
      <c r="C280" s="104" t="s">
        <v>228</v>
      </c>
      <c r="D280" s="104"/>
      <c r="E280" s="104"/>
      <c r="F280" s="104"/>
      <c r="G280" s="104"/>
      <c r="H280" s="54" t="s">
        <v>60</v>
      </c>
      <c r="I280" s="58">
        <v>52</v>
      </c>
      <c r="J280" s="55"/>
      <c r="K280" s="58">
        <v>52</v>
      </c>
      <c r="L280" s="56"/>
      <c r="M280" s="55"/>
      <c r="N280" s="56"/>
      <c r="O280" s="55"/>
      <c r="P280" s="77">
        <v>997.25</v>
      </c>
      <c r="Q280"/>
      <c r="R280"/>
      <c r="S280"/>
      <c r="T280">
        <f t="shared" si="2"/>
        <v>0</v>
      </c>
      <c r="U280" s="65">
        <v>867.17</v>
      </c>
      <c r="V280"/>
      <c r="W280" s="58">
        <v>52</v>
      </c>
      <c r="X280"/>
      <c r="Y280"/>
      <c r="Z280"/>
      <c r="AA280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38"/>
      <c r="AW280" s="38"/>
      <c r="AX280" s="38"/>
      <c r="AY280" s="38"/>
      <c r="AZ280" s="6" t="s">
        <v>228</v>
      </c>
      <c r="BA280" s="38"/>
      <c r="BB280" s="6"/>
      <c r="BC280" s="6"/>
      <c r="BD280" s="6"/>
      <c r="BE280" s="6"/>
      <c r="BF280" s="6"/>
      <c r="BG280" s="6"/>
      <c r="BH280" s="6"/>
      <c r="BI280" s="6"/>
      <c r="BJ280" s="6"/>
      <c r="BK280" s="6"/>
    </row>
    <row r="281" spans="1:63" s="19" customFormat="1" ht="15" x14ac:dyDescent="0.25">
      <c r="A281" s="59"/>
      <c r="B281" s="93"/>
      <c r="C281" s="102" t="s">
        <v>63</v>
      </c>
      <c r="D281" s="102"/>
      <c r="E281" s="102"/>
      <c r="F281" s="102"/>
      <c r="G281" s="102"/>
      <c r="H281" s="41"/>
      <c r="I281" s="42"/>
      <c r="J281" s="42"/>
      <c r="K281" s="42"/>
      <c r="L281" s="45"/>
      <c r="M281" s="42"/>
      <c r="N281" s="49">
        <v>233819.5</v>
      </c>
      <c r="O281" s="42"/>
      <c r="P281" s="50">
        <v>1927.85</v>
      </c>
      <c r="Q281"/>
      <c r="R281"/>
      <c r="S281"/>
      <c r="T281">
        <f t="shared" si="2"/>
        <v>0</v>
      </c>
      <c r="U281" s="50">
        <f>1676.39*(K276/W276)</f>
        <v>1676.39</v>
      </c>
      <c r="V281"/>
      <c r="W281" s="42"/>
      <c r="X281"/>
      <c r="Y281"/>
      <c r="Z281"/>
      <c r="AA281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38"/>
      <c r="AW281" s="38"/>
      <c r="AX281" s="38"/>
      <c r="AY281" s="38"/>
      <c r="AZ281" s="6"/>
      <c r="BA281" s="38" t="s">
        <v>63</v>
      </c>
      <c r="BB281" s="6"/>
      <c r="BC281" s="6"/>
      <c r="BD281" s="6"/>
      <c r="BE281" s="6"/>
      <c r="BF281" s="6"/>
      <c r="BG281" s="6"/>
      <c r="BH281" s="6"/>
      <c r="BI281" s="6"/>
      <c r="BJ281" s="6"/>
      <c r="BK281" s="6"/>
    </row>
    <row r="282" spans="1:63" s="19" customFormat="1" ht="18" customHeight="1" x14ac:dyDescent="0.25">
      <c r="A282" s="39" t="s">
        <v>311</v>
      </c>
      <c r="B282" s="92" t="s">
        <v>314</v>
      </c>
      <c r="C282" s="103" t="s">
        <v>315</v>
      </c>
      <c r="D282" s="103"/>
      <c r="E282" s="103"/>
      <c r="F282" s="103"/>
      <c r="G282" s="103"/>
      <c r="H282" s="41" t="s">
        <v>83</v>
      </c>
      <c r="I282" s="42">
        <v>2</v>
      </c>
      <c r="J282" s="43">
        <v>1</v>
      </c>
      <c r="K282" s="43">
        <v>2</v>
      </c>
      <c r="L282" s="49">
        <v>1181.19</v>
      </c>
      <c r="M282" s="62">
        <v>1.46</v>
      </c>
      <c r="N282" s="49">
        <v>1724.54</v>
      </c>
      <c r="O282" s="42"/>
      <c r="P282" s="50">
        <v>18151.599999999999</v>
      </c>
      <c r="Q282"/>
      <c r="R282"/>
      <c r="S282"/>
      <c r="T282">
        <f t="shared" si="2"/>
        <v>0</v>
      </c>
      <c r="U282" s="50">
        <v>15784</v>
      </c>
      <c r="V282"/>
      <c r="W282" s="43">
        <v>2</v>
      </c>
      <c r="X282"/>
      <c r="Y282"/>
      <c r="Z282"/>
      <c r="AA282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38"/>
      <c r="AW282" s="38"/>
      <c r="AX282" s="38" t="s">
        <v>284</v>
      </c>
      <c r="AY282" s="38"/>
      <c r="AZ282" s="6"/>
      <c r="BA282" s="38"/>
      <c r="BB282" s="6"/>
      <c r="BC282" s="6"/>
      <c r="BD282" s="6"/>
      <c r="BE282" s="6"/>
      <c r="BF282" s="6"/>
      <c r="BG282" s="6"/>
      <c r="BH282" s="6"/>
      <c r="BI282" s="6"/>
      <c r="BJ282" s="6"/>
      <c r="BK282" s="6"/>
    </row>
    <row r="283" spans="1:63" s="19" customFormat="1" ht="15" hidden="1" customHeight="1" x14ac:dyDescent="0.25">
      <c r="A283" s="249" t="s">
        <v>571</v>
      </c>
      <c r="B283" s="99"/>
      <c r="C283" s="99"/>
      <c r="D283" s="99"/>
      <c r="E283" s="99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77"/>
      <c r="Q283" s="2"/>
      <c r="R283" s="2"/>
      <c r="S283"/>
      <c r="T283"/>
      <c r="U283" s="76"/>
      <c r="V283"/>
      <c r="W283"/>
      <c r="X283"/>
      <c r="Y283"/>
      <c r="Z283"/>
      <c r="AA283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38" t="s">
        <v>296</v>
      </c>
      <c r="BC283" s="6"/>
      <c r="BD283" s="6"/>
      <c r="BE283" s="6"/>
      <c r="BF283" s="6"/>
      <c r="BG283" s="6"/>
      <c r="BH283" s="6"/>
      <c r="BI283" s="6"/>
      <c r="BJ283" s="6"/>
      <c r="BK283" s="6"/>
    </row>
    <row r="284" spans="1:63" s="19" customFormat="1" ht="15" hidden="1" x14ac:dyDescent="0.25">
      <c r="A284" s="47"/>
      <c r="B284" s="48"/>
      <c r="C284" s="101" t="s">
        <v>297</v>
      </c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77">
        <v>206869.95</v>
      </c>
      <c r="Q284" s="2"/>
      <c r="R284" s="2"/>
      <c r="S284"/>
      <c r="T284">
        <f>T290</f>
        <v>0</v>
      </c>
      <c r="U284" s="77">
        <v>206869.95281079077</v>
      </c>
      <c r="V284"/>
      <c r="W284"/>
      <c r="X284"/>
      <c r="Y284"/>
      <c r="Z284"/>
      <c r="AA284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38"/>
      <c r="BC284" s="3" t="s">
        <v>297</v>
      </c>
      <c r="BD284" s="6"/>
      <c r="BE284" s="6"/>
      <c r="BF284" s="6"/>
      <c r="BG284" s="6"/>
      <c r="BH284" s="6"/>
      <c r="BI284" s="6"/>
      <c r="BJ284" s="6"/>
      <c r="BK284" s="6"/>
    </row>
    <row r="285" spans="1:63" s="19" customFormat="1" ht="15" hidden="1" x14ac:dyDescent="0.25">
      <c r="A285" s="47"/>
      <c r="B285" s="48"/>
      <c r="C285" s="101" t="s">
        <v>298</v>
      </c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77">
        <v>327165.12</v>
      </c>
      <c r="Q285" s="2"/>
      <c r="R285" s="2"/>
      <c r="S285"/>
      <c r="T285">
        <f>T290</f>
        <v>0</v>
      </c>
      <c r="U285" s="77">
        <v>327165.11807755521</v>
      </c>
      <c r="V285"/>
      <c r="W285"/>
      <c r="X285"/>
      <c r="Y285"/>
      <c r="Z285"/>
      <c r="AA285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38"/>
      <c r="BC285" s="3" t="s">
        <v>298</v>
      </c>
      <c r="BD285" s="6"/>
      <c r="BE285" s="6"/>
      <c r="BF285" s="6"/>
      <c r="BG285" s="6"/>
      <c r="BH285" s="6"/>
      <c r="BI285" s="6"/>
      <c r="BJ285" s="6"/>
      <c r="BK285" s="6"/>
    </row>
    <row r="286" spans="1:63" s="19" customFormat="1" ht="15" hidden="1" x14ac:dyDescent="0.25">
      <c r="A286" s="47"/>
      <c r="B286" s="48"/>
      <c r="C286" s="101" t="s">
        <v>299</v>
      </c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77">
        <v>76561.289999999994</v>
      </c>
      <c r="Q286" s="2"/>
      <c r="R286" s="2"/>
      <c r="S286"/>
      <c r="T286">
        <f>T290</f>
        <v>0</v>
      </c>
      <c r="U286" s="77">
        <v>76561.290553401515</v>
      </c>
      <c r="V286"/>
      <c r="W286"/>
      <c r="X286"/>
      <c r="Y286"/>
      <c r="Z286"/>
      <c r="AA28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38"/>
      <c r="BC286" s="3" t="s">
        <v>299</v>
      </c>
      <c r="BD286" s="6"/>
      <c r="BE286" s="6"/>
      <c r="BF286" s="6"/>
      <c r="BG286" s="6"/>
      <c r="BH286" s="6"/>
      <c r="BI286" s="6"/>
      <c r="BJ286" s="6"/>
      <c r="BK286" s="6"/>
    </row>
    <row r="287" spans="1:63" s="19" customFormat="1" ht="15" hidden="1" x14ac:dyDescent="0.25">
      <c r="A287" s="47"/>
      <c r="B287" s="48"/>
      <c r="C287" s="101" t="s">
        <v>300</v>
      </c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77">
        <v>78864.77</v>
      </c>
      <c r="Q287" s="2"/>
      <c r="R287" s="2"/>
      <c r="S287"/>
      <c r="T287">
        <f>T290</f>
        <v>0</v>
      </c>
      <c r="U287" s="77">
        <v>78864.768747862079</v>
      </c>
      <c r="V287"/>
      <c r="W287"/>
      <c r="X287"/>
      <c r="Y287"/>
      <c r="Z287"/>
      <c r="AA287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38"/>
      <c r="BC287" s="3" t="s">
        <v>300</v>
      </c>
      <c r="BD287" s="6"/>
      <c r="BE287" s="6"/>
      <c r="BF287" s="6"/>
      <c r="BG287" s="6"/>
      <c r="BH287" s="6"/>
      <c r="BI287" s="6"/>
      <c r="BJ287" s="6"/>
      <c r="BK287" s="6"/>
    </row>
    <row r="288" spans="1:63" s="19" customFormat="1" ht="15" hidden="1" x14ac:dyDescent="0.25">
      <c r="A288" s="47"/>
      <c r="B288" s="48"/>
      <c r="C288" s="101" t="s">
        <v>301</v>
      </c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77">
        <v>41430.400000000001</v>
      </c>
      <c r="Q288" s="2"/>
      <c r="R288" s="2"/>
      <c r="S288"/>
      <c r="T288">
        <f>T290</f>
        <v>0</v>
      </c>
      <c r="U288" s="77">
        <v>41430.396518902344</v>
      </c>
      <c r="V288"/>
      <c r="W288"/>
      <c r="X288"/>
      <c r="Y288"/>
      <c r="Z288"/>
      <c r="AA288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38"/>
      <c r="BC288" s="3" t="s">
        <v>301</v>
      </c>
      <c r="BD288" s="6"/>
      <c r="BE288" s="6"/>
      <c r="BF288" s="6"/>
      <c r="BG288" s="6"/>
      <c r="BH288" s="6"/>
      <c r="BI288" s="6"/>
      <c r="BJ288" s="6"/>
      <c r="BK288" s="6"/>
    </row>
    <row r="289" spans="1:63" s="19" customFormat="1" ht="15" hidden="1" x14ac:dyDescent="0.25">
      <c r="A289" s="47"/>
      <c r="B289" s="48"/>
      <c r="C289" s="101" t="s">
        <v>302</v>
      </c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77">
        <v>29890.080000000002</v>
      </c>
      <c r="Q289" s="2"/>
      <c r="R289" s="2"/>
      <c r="S289"/>
      <c r="T289">
        <f>T290</f>
        <v>0</v>
      </c>
      <c r="U289" s="77">
        <v>29890.081922444813</v>
      </c>
      <c r="V289"/>
      <c r="W289"/>
      <c r="X289"/>
      <c r="Y289"/>
      <c r="Z289"/>
      <c r="AA289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38"/>
      <c r="BC289" s="3"/>
      <c r="BD289" s="3" t="s">
        <v>302</v>
      </c>
      <c r="BE289" s="6"/>
      <c r="BF289" s="6"/>
      <c r="BG289" s="6"/>
      <c r="BH289" s="6"/>
      <c r="BI289" s="6"/>
      <c r="BJ289" s="6"/>
      <c r="BK289" s="6"/>
    </row>
    <row r="290" spans="1:63" s="19" customFormat="1" ht="15" customHeight="1" x14ac:dyDescent="0.25">
      <c r="A290" s="252" t="s">
        <v>573</v>
      </c>
      <c r="B290" s="141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91">
        <f>P50+P52+P54+P60+P62+P68+P70+P72+P79+P81+P87+P89+P95+P97+P99+P101+P107+P109+P115+P117+P119+P125+P127+P134+P140+P142+P149+P155+P161+P163+P165+P171+P173+P179+P181+P187+P189+P191+P193+P200+P202+P208+P210+P216+P218+P224+P226+P228+P230+P236+P238+P240+P246+P252+P254+P256+P258+P260+P266+P268+P270+P272+P274+P281+P282</f>
        <v>480788.96338983241</v>
      </c>
      <c r="Q290" s="2"/>
      <c r="R290" s="2"/>
      <c r="S290"/>
      <c r="T290">
        <f>T774</f>
        <v>0</v>
      </c>
      <c r="U290" s="77">
        <v>357055.2</v>
      </c>
      <c r="V290"/>
      <c r="W290"/>
      <c r="X290"/>
      <c r="Y290"/>
      <c r="Z290"/>
      <c r="AA290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38"/>
      <c r="BC290" s="3"/>
      <c r="BD290" s="3"/>
      <c r="BE290" s="38" t="s">
        <v>303</v>
      </c>
      <c r="BF290" s="6"/>
      <c r="BG290" s="6"/>
      <c r="BH290" s="6"/>
      <c r="BI290" s="6"/>
      <c r="BJ290" s="6"/>
      <c r="BK290" s="6"/>
    </row>
    <row r="291" spans="1:63" s="147" customFormat="1" ht="15" x14ac:dyDescent="0.25">
      <c r="A291" s="107" t="s">
        <v>574</v>
      </c>
      <c r="B291" s="108"/>
      <c r="C291" s="108"/>
      <c r="D291" s="108"/>
      <c r="E291" s="108"/>
      <c r="F291" s="108"/>
      <c r="G291" s="108"/>
      <c r="H291" s="108"/>
      <c r="I291" s="108"/>
      <c r="J291" s="108"/>
      <c r="K291" s="108"/>
      <c r="L291" s="108"/>
      <c r="M291" s="108"/>
      <c r="N291" s="108"/>
      <c r="O291" s="108"/>
      <c r="P291" s="109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145"/>
      <c r="AC291" s="145"/>
      <c r="AD291" s="145"/>
      <c r="AE291" s="145"/>
      <c r="AF291" s="145"/>
      <c r="AG291" s="145"/>
      <c r="AH291" s="145"/>
      <c r="AI291" s="145"/>
      <c r="AJ291" s="145"/>
      <c r="AK291" s="145"/>
      <c r="AL291" s="145"/>
      <c r="AM291" s="145"/>
      <c r="AN291" s="145"/>
      <c r="AO291" s="145"/>
      <c r="AP291" s="145"/>
      <c r="AQ291" s="145"/>
      <c r="AR291" s="145"/>
      <c r="AS291" s="145"/>
      <c r="AT291" s="145"/>
      <c r="AU291" s="145"/>
      <c r="AV291" s="146"/>
      <c r="AW291" s="145"/>
      <c r="AX291" s="145"/>
      <c r="AY291" s="145"/>
      <c r="AZ291" s="145"/>
      <c r="BA291" s="145"/>
      <c r="BB291" s="145"/>
      <c r="BC291" s="145"/>
      <c r="BD291" s="145"/>
      <c r="BE291" s="145"/>
      <c r="BF291" s="145"/>
      <c r="BG291" s="145"/>
      <c r="BH291" s="145"/>
      <c r="BI291" s="145"/>
      <c r="BJ291" s="145"/>
      <c r="BK291" s="145"/>
    </row>
    <row r="292" spans="1:63" s="147" customFormat="1" ht="15" x14ac:dyDescent="0.25">
      <c r="A292" s="107" t="s">
        <v>51</v>
      </c>
      <c r="B292" s="108"/>
      <c r="C292" s="108"/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  <c r="O292" s="108"/>
      <c r="P292" s="109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145"/>
      <c r="AC292" s="145"/>
      <c r="AD292" s="145"/>
      <c r="AE292" s="145"/>
      <c r="AF292" s="145"/>
      <c r="AG292" s="145"/>
      <c r="AH292" s="145"/>
      <c r="AI292" s="145"/>
      <c r="AJ292" s="145"/>
      <c r="AK292" s="145"/>
      <c r="AL292" s="145"/>
      <c r="AM292" s="145"/>
      <c r="AN292" s="145"/>
      <c r="AO292" s="145"/>
      <c r="AP292" s="145"/>
      <c r="AQ292" s="145"/>
      <c r="AR292" s="145"/>
      <c r="AS292" s="145"/>
      <c r="AT292" s="145"/>
      <c r="AU292" s="145"/>
      <c r="AV292" s="146"/>
      <c r="AW292" s="146"/>
      <c r="AX292" s="145"/>
      <c r="AY292" s="145"/>
      <c r="AZ292" s="145"/>
      <c r="BA292" s="145"/>
      <c r="BB292" s="145"/>
      <c r="BC292" s="145"/>
      <c r="BD292" s="145"/>
      <c r="BE292" s="145"/>
      <c r="BF292" s="145"/>
      <c r="BG292" s="145"/>
      <c r="BH292" s="145"/>
      <c r="BI292" s="145"/>
      <c r="BJ292" s="145"/>
      <c r="BK292" s="145"/>
    </row>
    <row r="293" spans="1:63" s="147" customFormat="1" ht="15" x14ac:dyDescent="0.25">
      <c r="A293" s="39" t="s">
        <v>575</v>
      </c>
      <c r="B293" s="97" t="s">
        <v>53</v>
      </c>
      <c r="C293" s="103" t="s">
        <v>54</v>
      </c>
      <c r="D293" s="103"/>
      <c r="E293" s="103"/>
      <c r="F293" s="103"/>
      <c r="G293" s="103"/>
      <c r="H293" s="41" t="s">
        <v>55</v>
      </c>
      <c r="I293" s="42">
        <v>0.1053</v>
      </c>
      <c r="J293" s="43">
        <v>1</v>
      </c>
      <c r="K293" s="42">
        <v>0.1053</v>
      </c>
      <c r="L293" s="45"/>
      <c r="M293" s="42"/>
      <c r="N293" s="45"/>
      <c r="O293" s="42"/>
      <c r="P293" s="46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145"/>
      <c r="AC293" s="145"/>
      <c r="AD293" s="145"/>
      <c r="AE293" s="145"/>
      <c r="AF293" s="145"/>
      <c r="AG293" s="145"/>
      <c r="AH293" s="145"/>
      <c r="AI293" s="145"/>
      <c r="AJ293" s="145"/>
      <c r="AK293" s="145"/>
      <c r="AL293" s="145"/>
      <c r="AM293" s="145"/>
      <c r="AN293" s="145"/>
      <c r="AO293" s="145"/>
      <c r="AP293" s="145"/>
      <c r="AQ293" s="145"/>
      <c r="AR293" s="145"/>
      <c r="AS293" s="145"/>
      <c r="AT293" s="145"/>
      <c r="AU293" s="145"/>
      <c r="AV293" s="146"/>
      <c r="AW293" s="146"/>
      <c r="AX293" s="146"/>
      <c r="AY293" s="145"/>
      <c r="AZ293" s="145"/>
      <c r="BA293" s="145"/>
      <c r="BB293" s="145"/>
      <c r="BC293" s="145"/>
      <c r="BD293" s="145"/>
      <c r="BE293" s="145"/>
      <c r="BF293" s="145"/>
      <c r="BG293" s="145"/>
      <c r="BH293" s="145"/>
      <c r="BI293" s="145"/>
      <c r="BJ293" s="145"/>
      <c r="BK293" s="145"/>
    </row>
    <row r="294" spans="1:63" s="147" customFormat="1" ht="15" x14ac:dyDescent="0.25">
      <c r="A294" s="47"/>
      <c r="B294" s="48"/>
      <c r="C294" s="102" t="s">
        <v>56</v>
      </c>
      <c r="D294" s="102"/>
      <c r="E294" s="102"/>
      <c r="F294" s="102"/>
      <c r="G294" s="102"/>
      <c r="H294" s="41"/>
      <c r="I294" s="42"/>
      <c r="J294" s="42"/>
      <c r="K294" s="42"/>
      <c r="L294" s="45"/>
      <c r="M294" s="42"/>
      <c r="N294" s="49"/>
      <c r="O294" s="42"/>
      <c r="P294" s="50">
        <v>3911.5524999999998</v>
      </c>
      <c r="Q294" s="157"/>
      <c r="R294" s="157"/>
      <c r="S294" s="82"/>
      <c r="T294" s="82"/>
      <c r="U294" s="156"/>
      <c r="V294" s="82"/>
      <c r="X294" s="82"/>
      <c r="Y294" s="82"/>
      <c r="Z294" s="82"/>
      <c r="AA294" s="82"/>
      <c r="AB294" s="145"/>
      <c r="AC294" s="145"/>
      <c r="AD294" s="145"/>
      <c r="AE294" s="145"/>
      <c r="AF294" s="145"/>
      <c r="AG294" s="145"/>
      <c r="AH294" s="145"/>
      <c r="AI294" s="145"/>
      <c r="AJ294" s="145"/>
      <c r="AK294" s="145"/>
      <c r="AL294" s="145"/>
      <c r="AM294" s="145"/>
      <c r="AN294" s="145"/>
      <c r="AO294" s="145"/>
      <c r="AP294" s="145"/>
      <c r="AQ294" s="145"/>
      <c r="AR294" s="145"/>
      <c r="AS294" s="145"/>
      <c r="AT294" s="145"/>
      <c r="AU294" s="145"/>
      <c r="AV294" s="146"/>
      <c r="AW294" s="146"/>
      <c r="AX294" s="146"/>
      <c r="AY294" s="146"/>
      <c r="AZ294" s="145"/>
      <c r="BA294" s="145"/>
      <c r="BB294" s="145"/>
      <c r="BC294" s="145"/>
      <c r="BD294" s="145"/>
      <c r="BE294" s="145"/>
      <c r="BF294" s="145"/>
      <c r="BG294" s="145"/>
      <c r="BH294" s="145"/>
      <c r="BI294" s="145"/>
      <c r="BJ294" s="145"/>
      <c r="BK294" s="145"/>
    </row>
    <row r="295" spans="1:63" s="147" customFormat="1" ht="15" x14ac:dyDescent="0.25">
      <c r="A295" s="52"/>
      <c r="B295" s="53"/>
      <c r="C295" s="104" t="s">
        <v>57</v>
      </c>
      <c r="D295" s="104"/>
      <c r="E295" s="104"/>
      <c r="F295" s="104"/>
      <c r="G295" s="104"/>
      <c r="H295" s="54"/>
      <c r="I295" s="55"/>
      <c r="J295" s="55"/>
      <c r="K295" s="55"/>
      <c r="L295" s="56"/>
      <c r="M295" s="55"/>
      <c r="N295" s="56"/>
      <c r="O295" s="55"/>
      <c r="P295" s="77">
        <v>3212.3754999999996</v>
      </c>
      <c r="Q295" s="82"/>
      <c r="R295" s="82"/>
      <c r="S295" s="82"/>
      <c r="T295" s="82"/>
      <c r="U295" s="163"/>
      <c r="V295" s="82"/>
      <c r="W295" s="151"/>
      <c r="X295" s="82"/>
      <c r="Y295" s="82"/>
      <c r="Z295" s="82"/>
      <c r="AA295" s="82"/>
      <c r="AB295" s="145"/>
      <c r="AC295" s="145"/>
      <c r="AD295" s="145"/>
      <c r="AE295" s="145"/>
      <c r="AF295" s="145"/>
      <c r="AG295" s="145"/>
      <c r="AH295" s="145"/>
      <c r="AI295" s="145"/>
      <c r="AJ295" s="145"/>
      <c r="AK295" s="145"/>
      <c r="AL295" s="145"/>
      <c r="AM295" s="145"/>
      <c r="AN295" s="145"/>
      <c r="AO295" s="145"/>
      <c r="AP295" s="145"/>
      <c r="AQ295" s="145"/>
      <c r="AR295" s="145"/>
      <c r="AS295" s="145"/>
      <c r="AT295" s="145"/>
      <c r="AU295" s="145"/>
      <c r="AV295" s="146"/>
      <c r="AW295" s="146"/>
      <c r="AX295" s="146"/>
      <c r="AY295" s="146"/>
      <c r="AZ295" s="145"/>
      <c r="BA295" s="145"/>
      <c r="BB295" s="145"/>
      <c r="BC295" s="145"/>
      <c r="BD295" s="145"/>
      <c r="BE295" s="145"/>
      <c r="BF295" s="145"/>
      <c r="BG295" s="145"/>
      <c r="BH295" s="145"/>
      <c r="BI295" s="145"/>
      <c r="BJ295" s="145"/>
      <c r="BK295" s="145"/>
    </row>
    <row r="296" spans="1:63" s="147" customFormat="1" ht="15" x14ac:dyDescent="0.25">
      <c r="A296" s="52"/>
      <c r="B296" s="53" t="s">
        <v>58</v>
      </c>
      <c r="C296" s="104" t="s">
        <v>59</v>
      </c>
      <c r="D296" s="104"/>
      <c r="E296" s="104"/>
      <c r="F296" s="104"/>
      <c r="G296" s="104"/>
      <c r="H296" s="54" t="s">
        <v>60</v>
      </c>
      <c r="I296" s="58">
        <v>100</v>
      </c>
      <c r="J296" s="55"/>
      <c r="K296" s="58">
        <v>100</v>
      </c>
      <c r="L296" s="56"/>
      <c r="M296" s="55"/>
      <c r="N296" s="56"/>
      <c r="O296" s="55"/>
      <c r="P296" s="77">
        <v>3212.3754999999996</v>
      </c>
      <c r="Q296" s="82"/>
      <c r="R296" s="82"/>
      <c r="S296" s="82"/>
      <c r="T296" s="82"/>
      <c r="U296" s="163"/>
      <c r="V296" s="82"/>
      <c r="W296" s="160"/>
      <c r="X296" s="82"/>
      <c r="Y296" s="82"/>
      <c r="Z296" s="82"/>
      <c r="AA296" s="82"/>
      <c r="AB296" s="145"/>
      <c r="AC296" s="145"/>
      <c r="AD296" s="145"/>
      <c r="AE296" s="145"/>
      <c r="AF296" s="145"/>
      <c r="AG296" s="145"/>
      <c r="AH296" s="145"/>
      <c r="AI296" s="145"/>
      <c r="AJ296" s="145"/>
      <c r="AK296" s="145"/>
      <c r="AL296" s="145"/>
      <c r="AM296" s="145"/>
      <c r="AN296" s="145"/>
      <c r="AO296" s="145"/>
      <c r="AP296" s="145"/>
      <c r="AQ296" s="145"/>
      <c r="AR296" s="145"/>
      <c r="AS296" s="145"/>
      <c r="AT296" s="145"/>
      <c r="AU296" s="145"/>
      <c r="AV296" s="146"/>
      <c r="AW296" s="146"/>
      <c r="AX296" s="146"/>
      <c r="AY296" s="146"/>
      <c r="AZ296" s="145"/>
      <c r="BA296" s="145"/>
      <c r="BB296" s="145"/>
      <c r="BC296" s="145"/>
      <c r="BD296" s="145"/>
      <c r="BE296" s="145"/>
      <c r="BF296" s="145"/>
      <c r="BG296" s="145"/>
      <c r="BH296" s="145"/>
      <c r="BI296" s="145"/>
      <c r="BJ296" s="145"/>
      <c r="BK296" s="145"/>
    </row>
    <row r="297" spans="1:63" s="147" customFormat="1" ht="15" x14ac:dyDescent="0.25">
      <c r="A297" s="52"/>
      <c r="B297" s="53" t="s">
        <v>61</v>
      </c>
      <c r="C297" s="104" t="s">
        <v>62</v>
      </c>
      <c r="D297" s="104"/>
      <c r="E297" s="104"/>
      <c r="F297" s="104"/>
      <c r="G297" s="104"/>
      <c r="H297" s="54" t="s">
        <v>60</v>
      </c>
      <c r="I297" s="58">
        <v>49</v>
      </c>
      <c r="J297" s="55"/>
      <c r="K297" s="58">
        <v>49</v>
      </c>
      <c r="L297" s="56"/>
      <c r="M297" s="55"/>
      <c r="N297" s="56"/>
      <c r="O297" s="55"/>
      <c r="P297" s="77">
        <v>1574.0624999999998</v>
      </c>
      <c r="Q297" s="82"/>
      <c r="R297" s="82"/>
      <c r="S297" s="82"/>
      <c r="T297" s="165"/>
      <c r="U297" s="163"/>
      <c r="V297" s="82"/>
      <c r="W297" s="164"/>
      <c r="X297" s="82"/>
      <c r="Y297" s="82"/>
      <c r="Z297" s="82"/>
      <c r="AA297" s="82"/>
      <c r="AB297" s="145"/>
      <c r="AC297" s="145"/>
      <c r="AD297" s="145"/>
      <c r="AE297" s="145"/>
      <c r="AF297" s="145"/>
      <c r="AG297" s="145"/>
      <c r="AH297" s="145"/>
      <c r="AI297" s="145"/>
      <c r="AJ297" s="145"/>
      <c r="AK297" s="145"/>
      <c r="AL297" s="145"/>
      <c r="AM297" s="145"/>
      <c r="AN297" s="145"/>
      <c r="AO297" s="145"/>
      <c r="AP297" s="145"/>
      <c r="AQ297" s="145"/>
      <c r="AR297" s="145"/>
      <c r="AS297" s="145"/>
      <c r="AT297" s="145"/>
      <c r="AU297" s="145"/>
      <c r="AV297" s="146"/>
      <c r="AW297" s="146"/>
      <c r="AX297" s="146"/>
      <c r="AY297" s="146"/>
      <c r="AZ297" s="145"/>
      <c r="BA297" s="145"/>
      <c r="BB297" s="145"/>
      <c r="BC297" s="145"/>
      <c r="BD297" s="145"/>
      <c r="BE297" s="145"/>
      <c r="BF297" s="145"/>
      <c r="BG297" s="145"/>
      <c r="BH297" s="145"/>
      <c r="BI297" s="145"/>
      <c r="BJ297" s="145"/>
      <c r="BK297" s="145"/>
    </row>
    <row r="298" spans="1:63" s="147" customFormat="1" ht="15" x14ac:dyDescent="0.25">
      <c r="A298" s="59"/>
      <c r="B298" s="98"/>
      <c r="C298" s="102" t="s">
        <v>63</v>
      </c>
      <c r="D298" s="102"/>
      <c r="E298" s="102"/>
      <c r="F298" s="102"/>
      <c r="G298" s="102"/>
      <c r="H298" s="41"/>
      <c r="I298" s="42"/>
      <c r="J298" s="42"/>
      <c r="K298" s="42"/>
      <c r="L298" s="45"/>
      <c r="M298" s="42"/>
      <c r="N298" s="49">
        <v>64479.71</v>
      </c>
      <c r="O298" s="42"/>
      <c r="P298" s="91">
        <v>8697.9904999999999</v>
      </c>
      <c r="Q298" s="82"/>
      <c r="R298" s="82"/>
      <c r="S298" s="82"/>
      <c r="T298" s="82"/>
      <c r="U298" s="156"/>
      <c r="V298" s="82"/>
      <c r="W298" s="151"/>
      <c r="X298" s="82"/>
      <c r="Y298" s="82"/>
      <c r="Z298" s="82"/>
      <c r="AA298" s="82"/>
      <c r="AB298" s="145"/>
      <c r="AC298" s="145"/>
      <c r="AD298" s="145"/>
      <c r="AE298" s="145"/>
      <c r="AF298" s="145"/>
      <c r="AG298" s="145"/>
      <c r="AH298" s="145"/>
      <c r="AI298" s="145"/>
      <c r="AJ298" s="145"/>
      <c r="AK298" s="145"/>
      <c r="AL298" s="145"/>
      <c r="AM298" s="145"/>
      <c r="AN298" s="145"/>
      <c r="AO298" s="145"/>
      <c r="AP298" s="145"/>
      <c r="AQ298" s="145"/>
      <c r="AR298" s="145"/>
      <c r="AS298" s="145"/>
      <c r="AT298" s="145"/>
      <c r="AU298" s="145"/>
      <c r="AV298" s="146"/>
      <c r="AW298" s="146"/>
      <c r="AX298" s="146"/>
      <c r="AY298" s="146"/>
      <c r="AZ298" s="145"/>
      <c r="BA298" s="146"/>
      <c r="BB298" s="145"/>
      <c r="BC298" s="145"/>
      <c r="BD298" s="145"/>
      <c r="BE298" s="145"/>
      <c r="BF298" s="145"/>
      <c r="BG298" s="145"/>
      <c r="BH298" s="145"/>
      <c r="BI298" s="145"/>
      <c r="BJ298" s="145"/>
      <c r="BK298" s="145"/>
    </row>
    <row r="299" spans="1:63" s="147" customFormat="1" ht="15" x14ac:dyDescent="0.25">
      <c r="A299" s="39" t="s">
        <v>576</v>
      </c>
      <c r="B299" s="97" t="s">
        <v>65</v>
      </c>
      <c r="C299" s="103" t="s">
        <v>66</v>
      </c>
      <c r="D299" s="103"/>
      <c r="E299" s="103"/>
      <c r="F299" s="103"/>
      <c r="G299" s="103"/>
      <c r="H299" s="41" t="s">
        <v>67</v>
      </c>
      <c r="I299" s="42">
        <v>6.5805999999999996</v>
      </c>
      <c r="J299" s="43">
        <v>1</v>
      </c>
      <c r="K299" s="44">
        <v>6.5805999999999996</v>
      </c>
      <c r="L299" s="61">
        <v>68.290000000000006</v>
      </c>
      <c r="M299" s="62">
        <v>1.72</v>
      </c>
      <c r="N299" s="61">
        <v>117.46</v>
      </c>
      <c r="O299" s="42"/>
      <c r="P299" s="50">
        <v>888.90885561497316</v>
      </c>
      <c r="Q299" s="82"/>
      <c r="R299" s="82"/>
      <c r="S299" s="82"/>
      <c r="T299" s="165"/>
      <c r="U299" s="167"/>
      <c r="V299" s="82"/>
      <c r="W299" s="151"/>
      <c r="X299" s="82"/>
      <c r="Y299" s="82"/>
      <c r="Z299" s="82"/>
      <c r="AA299" s="82"/>
      <c r="AB299" s="145"/>
      <c r="AC299" s="145"/>
      <c r="AD299" s="145"/>
      <c r="AE299" s="145"/>
      <c r="AF299" s="145"/>
      <c r="AG299" s="145"/>
      <c r="AH299" s="145"/>
      <c r="AI299" s="145"/>
      <c r="AJ299" s="145"/>
      <c r="AK299" s="145"/>
      <c r="AL299" s="145"/>
      <c r="AM299" s="145"/>
      <c r="AN299" s="145"/>
      <c r="AO299" s="145"/>
      <c r="AP299" s="145"/>
      <c r="AQ299" s="145"/>
      <c r="AR299" s="145"/>
      <c r="AS299" s="145"/>
      <c r="AT299" s="145"/>
      <c r="AU299" s="145"/>
      <c r="AV299" s="146"/>
      <c r="AW299" s="146"/>
      <c r="AX299" s="146"/>
      <c r="AY299" s="146"/>
      <c r="AZ299" s="145"/>
      <c r="BA299" s="146"/>
      <c r="BB299" s="145"/>
      <c r="BC299" s="145"/>
      <c r="BD299" s="145"/>
      <c r="BE299" s="145"/>
      <c r="BF299" s="145"/>
      <c r="BG299" s="145"/>
      <c r="BH299" s="145"/>
      <c r="BI299" s="145"/>
      <c r="BJ299" s="145"/>
      <c r="BK299" s="145"/>
    </row>
    <row r="300" spans="1:63" s="147" customFormat="1" ht="15" x14ac:dyDescent="0.25">
      <c r="A300" s="59"/>
      <c r="B300" s="98"/>
      <c r="C300" s="102" t="s">
        <v>63</v>
      </c>
      <c r="D300" s="102"/>
      <c r="E300" s="102"/>
      <c r="F300" s="102"/>
      <c r="G300" s="102"/>
      <c r="H300" s="41"/>
      <c r="I300" s="42"/>
      <c r="J300" s="42"/>
      <c r="K300" s="42"/>
      <c r="L300" s="45"/>
      <c r="M300" s="42"/>
      <c r="N300" s="45"/>
      <c r="O300" s="42"/>
      <c r="P300" s="50">
        <v>888.90885561497316</v>
      </c>
      <c r="Q300" s="82"/>
      <c r="R300" s="82"/>
      <c r="S300" s="82"/>
      <c r="T300" s="165"/>
      <c r="U300" s="167"/>
      <c r="V300" s="82"/>
      <c r="W300" s="166"/>
      <c r="X300" s="82"/>
      <c r="Y300" s="82"/>
      <c r="Z300" s="82"/>
      <c r="AA300" s="82"/>
      <c r="AB300" s="145"/>
      <c r="AC300" s="145"/>
      <c r="AD300" s="145"/>
      <c r="AE300" s="145"/>
      <c r="AF300" s="145"/>
      <c r="AG300" s="145"/>
      <c r="AH300" s="145"/>
      <c r="AI300" s="145"/>
      <c r="AJ300" s="145"/>
      <c r="AK300" s="145"/>
      <c r="AL300" s="145"/>
      <c r="AM300" s="145"/>
      <c r="AN300" s="145"/>
      <c r="AO300" s="145"/>
      <c r="AP300" s="145"/>
      <c r="AQ300" s="145"/>
      <c r="AR300" s="145"/>
      <c r="AS300" s="145"/>
      <c r="AT300" s="145"/>
      <c r="AU300" s="145"/>
      <c r="AV300" s="146"/>
      <c r="AW300" s="146"/>
      <c r="AX300" s="146"/>
      <c r="AY300" s="146"/>
      <c r="AZ300" s="145"/>
      <c r="BA300" s="146"/>
      <c r="BB300" s="145"/>
      <c r="BC300" s="145"/>
      <c r="BD300" s="145"/>
      <c r="BE300" s="145"/>
      <c r="BF300" s="145"/>
      <c r="BG300" s="145"/>
      <c r="BH300" s="145"/>
      <c r="BI300" s="145"/>
      <c r="BJ300" s="145"/>
      <c r="BK300" s="145"/>
    </row>
    <row r="301" spans="1:63" s="147" customFormat="1" ht="15" x14ac:dyDescent="0.25">
      <c r="A301" s="298" t="s">
        <v>577</v>
      </c>
      <c r="B301" s="97" t="s">
        <v>69</v>
      </c>
      <c r="C301" s="103" t="s">
        <v>70</v>
      </c>
      <c r="D301" s="103"/>
      <c r="E301" s="103"/>
      <c r="F301" s="103"/>
      <c r="G301" s="103"/>
      <c r="H301" s="41" t="s">
        <v>71</v>
      </c>
      <c r="I301" s="42">
        <v>3.8709E-3</v>
      </c>
      <c r="J301" s="43">
        <v>1</v>
      </c>
      <c r="K301" s="64">
        <v>3.8709E-3</v>
      </c>
      <c r="L301" s="49">
        <v>52265.82</v>
      </c>
      <c r="M301" s="62">
        <v>1.81</v>
      </c>
      <c r="N301" s="49">
        <v>94601.13</v>
      </c>
      <c r="O301" s="42"/>
      <c r="P301" s="50">
        <v>421.11849999999998</v>
      </c>
      <c r="Q301" s="82"/>
      <c r="R301" s="82"/>
      <c r="S301" s="82"/>
      <c r="T301" s="165"/>
      <c r="U301" s="167"/>
      <c r="V301" s="82"/>
      <c r="W301" s="151"/>
      <c r="X301" s="82"/>
      <c r="Y301" s="82"/>
      <c r="Z301" s="82"/>
      <c r="AA301" s="82"/>
      <c r="AB301" s="145"/>
      <c r="AC301" s="145"/>
      <c r="AD301" s="145"/>
      <c r="AE301" s="145"/>
      <c r="AF301" s="145"/>
      <c r="AG301" s="145"/>
      <c r="AH301" s="145"/>
      <c r="AI301" s="145"/>
      <c r="AJ301" s="145"/>
      <c r="AK301" s="145"/>
      <c r="AL301" s="145"/>
      <c r="AM301" s="145"/>
      <c r="AN301" s="145"/>
      <c r="AO301" s="145"/>
      <c r="AP301" s="145"/>
      <c r="AQ301" s="145"/>
      <c r="AR301" s="145"/>
      <c r="AS301" s="145"/>
      <c r="AT301" s="145"/>
      <c r="AU301" s="145"/>
      <c r="AV301" s="146"/>
      <c r="AW301" s="146"/>
      <c r="AX301" s="146"/>
      <c r="AY301" s="146"/>
      <c r="AZ301" s="145"/>
      <c r="BA301" s="146"/>
      <c r="BB301" s="145"/>
      <c r="BC301" s="145"/>
      <c r="BD301" s="145"/>
      <c r="BE301" s="145"/>
      <c r="BF301" s="145"/>
      <c r="BG301" s="145"/>
      <c r="BH301" s="145"/>
      <c r="BI301" s="145"/>
      <c r="BJ301" s="145"/>
      <c r="BK301" s="145"/>
    </row>
    <row r="302" spans="1:63" s="147" customFormat="1" ht="15" x14ac:dyDescent="0.25">
      <c r="A302" s="59"/>
      <c r="B302" s="98"/>
      <c r="C302" s="102" t="s">
        <v>63</v>
      </c>
      <c r="D302" s="102"/>
      <c r="E302" s="102"/>
      <c r="F302" s="102"/>
      <c r="G302" s="102"/>
      <c r="H302" s="41"/>
      <c r="I302" s="42"/>
      <c r="J302" s="42"/>
      <c r="K302" s="42"/>
      <c r="L302" s="45"/>
      <c r="M302" s="42"/>
      <c r="N302" s="45"/>
      <c r="O302" s="42"/>
      <c r="P302" s="50">
        <v>421.11849999999998</v>
      </c>
      <c r="Q302" s="82"/>
      <c r="R302" s="82"/>
      <c r="S302" s="82"/>
      <c r="T302" s="165"/>
      <c r="U302" s="167"/>
      <c r="V302" s="82"/>
      <c r="W302" s="169"/>
      <c r="X302" s="82"/>
      <c r="Y302" s="82"/>
      <c r="Z302" s="82"/>
      <c r="AA302" s="82"/>
      <c r="AB302" s="145"/>
      <c r="AC302" s="145"/>
      <c r="AD302" s="145"/>
      <c r="AE302" s="145"/>
      <c r="AF302" s="145"/>
      <c r="AG302" s="145"/>
      <c r="AH302" s="145"/>
      <c r="AI302" s="145"/>
      <c r="AJ302" s="145"/>
      <c r="AK302" s="145"/>
      <c r="AL302" s="145"/>
      <c r="AM302" s="145"/>
      <c r="AN302" s="145"/>
      <c r="AO302" s="145"/>
      <c r="AP302" s="145"/>
      <c r="AQ302" s="145"/>
      <c r="AR302" s="145"/>
      <c r="AS302" s="145"/>
      <c r="AT302" s="145"/>
      <c r="AU302" s="145"/>
      <c r="AV302" s="146"/>
      <c r="AW302" s="146"/>
      <c r="AX302" s="146"/>
      <c r="AY302" s="146"/>
      <c r="AZ302" s="145"/>
      <c r="BA302" s="146"/>
      <c r="BB302" s="145"/>
      <c r="BC302" s="145"/>
      <c r="BD302" s="145"/>
      <c r="BE302" s="145"/>
      <c r="BF302" s="145"/>
      <c r="BG302" s="145"/>
      <c r="BH302" s="145"/>
      <c r="BI302" s="145"/>
      <c r="BJ302" s="145"/>
      <c r="BK302" s="145"/>
    </row>
    <row r="303" spans="1:63" s="147" customFormat="1" ht="15" x14ac:dyDescent="0.25">
      <c r="A303" s="39" t="s">
        <v>588</v>
      </c>
      <c r="B303" s="97" t="s">
        <v>73</v>
      </c>
      <c r="C303" s="103" t="s">
        <v>74</v>
      </c>
      <c r="D303" s="103"/>
      <c r="E303" s="103"/>
      <c r="F303" s="103"/>
      <c r="G303" s="103"/>
      <c r="H303" s="41" t="s">
        <v>75</v>
      </c>
      <c r="I303" s="42">
        <v>0.02</v>
      </c>
      <c r="J303" s="43">
        <v>1</v>
      </c>
      <c r="K303" s="62">
        <v>0.02</v>
      </c>
      <c r="L303" s="45"/>
      <c r="M303" s="42"/>
      <c r="N303" s="45"/>
      <c r="O303" s="42"/>
      <c r="P303" s="50"/>
      <c r="Q303" s="82"/>
      <c r="R303" s="82"/>
      <c r="S303" s="82"/>
      <c r="T303" s="165"/>
      <c r="U303" s="153"/>
      <c r="V303" s="82"/>
      <c r="W303" s="151"/>
      <c r="X303" s="82"/>
      <c r="Y303" s="82"/>
      <c r="Z303" s="82"/>
      <c r="AA303" s="82"/>
      <c r="AB303" s="145"/>
      <c r="AC303" s="145"/>
      <c r="AD303" s="145"/>
      <c r="AE303" s="145"/>
      <c r="AF303" s="145"/>
      <c r="AG303" s="145"/>
      <c r="AH303" s="145"/>
      <c r="AI303" s="145"/>
      <c r="AJ303" s="145"/>
      <c r="AK303" s="145"/>
      <c r="AL303" s="145"/>
      <c r="AM303" s="145"/>
      <c r="AN303" s="145"/>
      <c r="AO303" s="145"/>
      <c r="AP303" s="145"/>
      <c r="AQ303" s="145"/>
      <c r="AR303" s="145"/>
      <c r="AS303" s="145"/>
      <c r="AT303" s="145"/>
      <c r="AU303" s="145"/>
      <c r="AV303" s="146"/>
      <c r="AW303" s="146"/>
      <c r="AX303" s="146"/>
      <c r="AY303" s="146"/>
      <c r="AZ303" s="145"/>
      <c r="BA303" s="146"/>
      <c r="BB303" s="145"/>
      <c r="BC303" s="145"/>
      <c r="BD303" s="145"/>
      <c r="BE303" s="145"/>
      <c r="BF303" s="145"/>
      <c r="BG303" s="145"/>
      <c r="BH303" s="145"/>
      <c r="BI303" s="145"/>
      <c r="BJ303" s="145"/>
      <c r="BK303" s="145"/>
    </row>
    <row r="304" spans="1:63" s="147" customFormat="1" ht="15" x14ac:dyDescent="0.25">
      <c r="A304" s="47"/>
      <c r="B304" s="48"/>
      <c r="C304" s="102" t="s">
        <v>56</v>
      </c>
      <c r="D304" s="102"/>
      <c r="E304" s="102"/>
      <c r="F304" s="102"/>
      <c r="G304" s="102"/>
      <c r="H304" s="41"/>
      <c r="I304" s="42"/>
      <c r="J304" s="42"/>
      <c r="K304" s="42"/>
      <c r="L304" s="45"/>
      <c r="M304" s="42"/>
      <c r="N304" s="49"/>
      <c r="O304" s="42"/>
      <c r="P304" s="50">
        <v>1555.3405</v>
      </c>
      <c r="Q304" s="157"/>
      <c r="R304" s="157"/>
      <c r="S304" s="82"/>
      <c r="T304" s="165"/>
      <c r="U304" s="156"/>
      <c r="V304" s="82"/>
      <c r="W304" s="168"/>
      <c r="X304" s="82"/>
      <c r="Y304" s="82"/>
      <c r="Z304" s="82"/>
      <c r="AA304" s="82"/>
      <c r="AB304" s="145"/>
      <c r="AC304" s="145"/>
      <c r="AD304" s="145"/>
      <c r="AE304" s="145"/>
      <c r="AF304" s="145"/>
      <c r="AG304" s="145"/>
      <c r="AH304" s="145"/>
      <c r="AI304" s="145"/>
      <c r="AJ304" s="145"/>
      <c r="AK304" s="145"/>
      <c r="AL304" s="145"/>
      <c r="AM304" s="145"/>
      <c r="AN304" s="145"/>
      <c r="AO304" s="145"/>
      <c r="AP304" s="145"/>
      <c r="AQ304" s="145"/>
      <c r="AR304" s="145"/>
      <c r="AS304" s="145"/>
      <c r="AT304" s="145"/>
      <c r="AU304" s="145"/>
      <c r="AV304" s="146"/>
      <c r="AW304" s="146"/>
      <c r="AX304" s="146"/>
      <c r="AY304" s="146"/>
      <c r="AZ304" s="145"/>
      <c r="BA304" s="146"/>
      <c r="BB304" s="145"/>
      <c r="BC304" s="145"/>
      <c r="BD304" s="145"/>
      <c r="BE304" s="145"/>
      <c r="BF304" s="145"/>
      <c r="BG304" s="145"/>
      <c r="BH304" s="145"/>
      <c r="BI304" s="145"/>
      <c r="BJ304" s="145"/>
      <c r="BK304" s="145"/>
    </row>
    <row r="305" spans="1:63" s="147" customFormat="1" ht="15" x14ac:dyDescent="0.25">
      <c r="A305" s="52"/>
      <c r="B305" s="53"/>
      <c r="C305" s="104" t="s">
        <v>57</v>
      </c>
      <c r="D305" s="104"/>
      <c r="E305" s="104"/>
      <c r="F305" s="104"/>
      <c r="G305" s="104"/>
      <c r="H305" s="54"/>
      <c r="I305" s="55"/>
      <c r="J305" s="55"/>
      <c r="K305" s="55"/>
      <c r="L305" s="56"/>
      <c r="M305" s="55"/>
      <c r="N305" s="56"/>
      <c r="O305" s="55"/>
      <c r="P305" s="77">
        <v>1555.2484999999999</v>
      </c>
      <c r="Q305" s="82"/>
      <c r="R305" s="82"/>
      <c r="S305" s="82"/>
      <c r="T305" s="165"/>
      <c r="U305" s="163"/>
      <c r="V305" s="82"/>
      <c r="W305" s="151"/>
      <c r="X305" s="82"/>
      <c r="Y305" s="82"/>
      <c r="Z305" s="82"/>
      <c r="AA305" s="82"/>
      <c r="AB305" s="145"/>
      <c r="AC305" s="145"/>
      <c r="AD305" s="145"/>
      <c r="AE305" s="145"/>
      <c r="AF305" s="145"/>
      <c r="AG305" s="145"/>
      <c r="AH305" s="145"/>
      <c r="AI305" s="145"/>
      <c r="AJ305" s="145"/>
      <c r="AK305" s="145"/>
      <c r="AL305" s="145"/>
      <c r="AM305" s="145"/>
      <c r="AN305" s="145"/>
      <c r="AO305" s="145"/>
      <c r="AP305" s="145"/>
      <c r="AQ305" s="145"/>
      <c r="AR305" s="145"/>
      <c r="AS305" s="145"/>
      <c r="AT305" s="145"/>
      <c r="AU305" s="145"/>
      <c r="AV305" s="146"/>
      <c r="AW305" s="146"/>
      <c r="AX305" s="146"/>
      <c r="AY305" s="146"/>
      <c r="AZ305" s="145"/>
      <c r="BA305" s="146"/>
      <c r="BB305" s="145"/>
      <c r="BC305" s="145"/>
      <c r="BD305" s="145"/>
      <c r="BE305" s="145"/>
      <c r="BF305" s="145"/>
      <c r="BG305" s="145"/>
      <c r="BH305" s="145"/>
      <c r="BI305" s="145"/>
      <c r="BJ305" s="145"/>
      <c r="BK305" s="145"/>
    </row>
    <row r="306" spans="1:63" s="147" customFormat="1" ht="15" x14ac:dyDescent="0.25">
      <c r="A306" s="52"/>
      <c r="B306" s="53" t="s">
        <v>76</v>
      </c>
      <c r="C306" s="104" t="s">
        <v>77</v>
      </c>
      <c r="D306" s="104"/>
      <c r="E306" s="104"/>
      <c r="F306" s="104"/>
      <c r="G306" s="104"/>
      <c r="H306" s="54" t="s">
        <v>60</v>
      </c>
      <c r="I306" s="58">
        <v>91</v>
      </c>
      <c r="J306" s="55"/>
      <c r="K306" s="58">
        <v>91</v>
      </c>
      <c r="L306" s="56"/>
      <c r="M306" s="55"/>
      <c r="N306" s="56"/>
      <c r="O306" s="55"/>
      <c r="P306" s="77">
        <v>1415.2705000000001</v>
      </c>
      <c r="Q306" s="82"/>
      <c r="R306" s="82"/>
      <c r="S306" s="82"/>
      <c r="T306" s="165"/>
      <c r="U306" s="163"/>
      <c r="V306" s="82"/>
      <c r="W306" s="160"/>
      <c r="X306" s="82"/>
      <c r="Y306" s="82"/>
      <c r="Z306" s="82"/>
      <c r="AA306" s="82"/>
      <c r="AB306" s="145"/>
      <c r="AC306" s="145"/>
      <c r="AD306" s="145"/>
      <c r="AE306" s="145"/>
      <c r="AF306" s="145"/>
      <c r="AG306" s="145"/>
      <c r="AH306" s="145"/>
      <c r="AI306" s="145"/>
      <c r="AJ306" s="145"/>
      <c r="AK306" s="145"/>
      <c r="AL306" s="145"/>
      <c r="AM306" s="145"/>
      <c r="AN306" s="145"/>
      <c r="AO306" s="145"/>
      <c r="AP306" s="145"/>
      <c r="AQ306" s="145"/>
      <c r="AR306" s="145"/>
      <c r="AS306" s="145"/>
      <c r="AT306" s="145"/>
      <c r="AU306" s="145"/>
      <c r="AV306" s="146"/>
      <c r="AW306" s="146"/>
      <c r="AX306" s="146"/>
      <c r="AY306" s="146"/>
      <c r="AZ306" s="145"/>
      <c r="BA306" s="146"/>
      <c r="BB306" s="145"/>
      <c r="BC306" s="145"/>
      <c r="BD306" s="145"/>
      <c r="BE306" s="145"/>
      <c r="BF306" s="145"/>
      <c r="BG306" s="145"/>
      <c r="BH306" s="145"/>
      <c r="BI306" s="145"/>
      <c r="BJ306" s="145"/>
      <c r="BK306" s="145"/>
    </row>
    <row r="307" spans="1:63" s="147" customFormat="1" ht="15" x14ac:dyDescent="0.25">
      <c r="A307" s="52"/>
      <c r="B307" s="53" t="s">
        <v>78</v>
      </c>
      <c r="C307" s="104" t="s">
        <v>79</v>
      </c>
      <c r="D307" s="104"/>
      <c r="E307" s="104"/>
      <c r="F307" s="104"/>
      <c r="G307" s="104"/>
      <c r="H307" s="54" t="s">
        <v>60</v>
      </c>
      <c r="I307" s="58">
        <v>48</v>
      </c>
      <c r="J307" s="55"/>
      <c r="K307" s="58">
        <v>48</v>
      </c>
      <c r="L307" s="56"/>
      <c r="M307" s="55"/>
      <c r="N307" s="56"/>
      <c r="O307" s="55"/>
      <c r="P307" s="77">
        <v>746.52249999999992</v>
      </c>
      <c r="Q307" s="82"/>
      <c r="R307" s="82"/>
      <c r="S307" s="82"/>
      <c r="T307" s="165"/>
      <c r="U307" s="170"/>
      <c r="V307" s="82"/>
      <c r="W307" s="164"/>
      <c r="X307" s="82"/>
      <c r="Y307" s="82"/>
      <c r="Z307" s="82"/>
      <c r="AA307" s="82"/>
      <c r="AB307" s="145"/>
      <c r="AC307" s="145"/>
      <c r="AD307" s="145"/>
      <c r="AE307" s="145"/>
      <c r="AF307" s="145"/>
      <c r="AG307" s="145"/>
      <c r="AH307" s="145"/>
      <c r="AI307" s="145"/>
      <c r="AJ307" s="145"/>
      <c r="AK307" s="145"/>
      <c r="AL307" s="145"/>
      <c r="AM307" s="145"/>
      <c r="AN307" s="145"/>
      <c r="AO307" s="145"/>
      <c r="AP307" s="145"/>
      <c r="AQ307" s="145"/>
      <c r="AR307" s="145"/>
      <c r="AS307" s="145"/>
      <c r="AT307" s="145"/>
      <c r="AU307" s="145"/>
      <c r="AV307" s="146"/>
      <c r="AW307" s="146"/>
      <c r="AX307" s="146"/>
      <c r="AY307" s="146"/>
      <c r="AZ307" s="145"/>
      <c r="BA307" s="146"/>
      <c r="BB307" s="145"/>
      <c r="BC307" s="145"/>
      <c r="BD307" s="145"/>
      <c r="BE307" s="145"/>
      <c r="BF307" s="145"/>
      <c r="BG307" s="145"/>
      <c r="BH307" s="145"/>
      <c r="BI307" s="145"/>
      <c r="BJ307" s="145"/>
      <c r="BK307" s="145"/>
    </row>
    <row r="308" spans="1:63" s="147" customFormat="1" ht="15" x14ac:dyDescent="0.25">
      <c r="A308" s="59"/>
      <c r="B308" s="98"/>
      <c r="C308" s="102" t="s">
        <v>63</v>
      </c>
      <c r="D308" s="102"/>
      <c r="E308" s="102"/>
      <c r="F308" s="102"/>
      <c r="G308" s="102"/>
      <c r="H308" s="41"/>
      <c r="I308" s="42"/>
      <c r="J308" s="42"/>
      <c r="K308" s="42"/>
      <c r="L308" s="45"/>
      <c r="M308" s="42"/>
      <c r="N308" s="49">
        <v>161614.5</v>
      </c>
      <c r="O308" s="42"/>
      <c r="P308" s="50">
        <v>3717.1334999999995</v>
      </c>
      <c r="Q308" s="82"/>
      <c r="R308" s="82"/>
      <c r="S308" s="82"/>
      <c r="T308" s="165"/>
      <c r="U308" s="156"/>
      <c r="V308" s="82"/>
      <c r="W308" s="164"/>
      <c r="X308" s="82"/>
      <c r="Y308" s="82"/>
      <c r="Z308" s="82"/>
      <c r="AA308" s="82"/>
      <c r="AB308" s="145"/>
      <c r="AC308" s="145"/>
      <c r="AD308" s="145"/>
      <c r="AE308" s="145"/>
      <c r="AF308" s="145"/>
      <c r="AG308" s="145"/>
      <c r="AH308" s="145"/>
      <c r="AI308" s="145"/>
      <c r="AJ308" s="145"/>
      <c r="AK308" s="145"/>
      <c r="AL308" s="145"/>
      <c r="AM308" s="145"/>
      <c r="AN308" s="145"/>
      <c r="AO308" s="145"/>
      <c r="AP308" s="145"/>
      <c r="AQ308" s="145"/>
      <c r="AR308" s="145"/>
      <c r="AS308" s="145"/>
      <c r="AT308" s="145"/>
      <c r="AU308" s="145"/>
      <c r="AV308" s="146"/>
      <c r="AW308" s="146"/>
      <c r="AX308" s="146"/>
      <c r="AY308" s="146"/>
      <c r="AZ308" s="145"/>
      <c r="BA308" s="146"/>
      <c r="BB308" s="145"/>
      <c r="BC308" s="145"/>
      <c r="BD308" s="145"/>
      <c r="BE308" s="145"/>
      <c r="BF308" s="145"/>
      <c r="BG308" s="145"/>
      <c r="BH308" s="145"/>
      <c r="BI308" s="145"/>
      <c r="BJ308" s="145"/>
      <c r="BK308" s="145"/>
    </row>
    <row r="309" spans="1:63" s="147" customFormat="1" ht="15" x14ac:dyDescent="0.25">
      <c r="A309" s="39" t="s">
        <v>589</v>
      </c>
      <c r="B309" s="97" t="s">
        <v>81</v>
      </c>
      <c r="C309" s="103" t="s">
        <v>82</v>
      </c>
      <c r="D309" s="103"/>
      <c r="E309" s="103"/>
      <c r="F309" s="103"/>
      <c r="G309" s="103"/>
      <c r="H309" s="41" t="s">
        <v>83</v>
      </c>
      <c r="I309" s="42">
        <v>2</v>
      </c>
      <c r="J309" s="43">
        <v>1</v>
      </c>
      <c r="K309" s="43">
        <v>2</v>
      </c>
      <c r="L309" s="49">
        <v>3579.75</v>
      </c>
      <c r="M309" s="62">
        <v>1.41</v>
      </c>
      <c r="N309" s="49">
        <v>5047.45</v>
      </c>
      <c r="O309" s="42"/>
      <c r="P309" s="50">
        <v>11609.134999999998</v>
      </c>
      <c r="Q309" s="82"/>
      <c r="R309" s="82"/>
      <c r="S309" s="82"/>
      <c r="T309" s="82"/>
      <c r="U309" s="156"/>
      <c r="V309" s="82"/>
      <c r="W309" s="151"/>
      <c r="X309" s="82"/>
      <c r="Y309" s="82"/>
      <c r="Z309" s="82"/>
      <c r="AA309" s="82"/>
      <c r="AB309" s="145"/>
      <c r="AC309" s="145"/>
      <c r="AD309" s="145"/>
      <c r="AE309" s="145"/>
      <c r="AF309" s="145"/>
      <c r="AG309" s="145"/>
      <c r="AH309" s="145"/>
      <c r="AI309" s="145"/>
      <c r="AJ309" s="145"/>
      <c r="AK309" s="145"/>
      <c r="AL309" s="145"/>
      <c r="AM309" s="145"/>
      <c r="AN309" s="145"/>
      <c r="AO309" s="145"/>
      <c r="AP309" s="145"/>
      <c r="AQ309" s="145"/>
      <c r="AR309" s="145"/>
      <c r="AS309" s="145"/>
      <c r="AT309" s="145"/>
      <c r="AU309" s="145"/>
      <c r="AV309" s="146"/>
      <c r="AW309" s="146"/>
      <c r="AX309" s="146"/>
      <c r="AY309" s="146"/>
      <c r="AZ309" s="145"/>
      <c r="BA309" s="146"/>
      <c r="BB309" s="145"/>
      <c r="BC309" s="145"/>
      <c r="BD309" s="145"/>
      <c r="BE309" s="145"/>
      <c r="BF309" s="145"/>
      <c r="BG309" s="145"/>
      <c r="BH309" s="145"/>
      <c r="BI309" s="145"/>
      <c r="BJ309" s="145"/>
      <c r="BK309" s="145"/>
    </row>
    <row r="310" spans="1:63" s="147" customFormat="1" ht="15" x14ac:dyDescent="0.25">
      <c r="A310" s="59"/>
      <c r="B310" s="98"/>
      <c r="C310" s="102" t="s">
        <v>63</v>
      </c>
      <c r="D310" s="102"/>
      <c r="E310" s="102"/>
      <c r="F310" s="102"/>
      <c r="G310" s="102"/>
      <c r="H310" s="41"/>
      <c r="I310" s="42"/>
      <c r="J310" s="42"/>
      <c r="K310" s="42"/>
      <c r="L310" s="45"/>
      <c r="M310" s="42"/>
      <c r="N310" s="45"/>
      <c r="O310" s="42"/>
      <c r="P310" s="50">
        <v>11609.134999999998</v>
      </c>
      <c r="Q310" s="82"/>
      <c r="R310" s="82"/>
      <c r="S310" s="82"/>
      <c r="T310" s="82"/>
      <c r="U310" s="156"/>
      <c r="V310" s="82"/>
      <c r="W310" s="152"/>
      <c r="X310" s="82"/>
      <c r="Y310" s="82"/>
      <c r="Z310" s="82"/>
      <c r="AA310" s="82"/>
      <c r="AB310" s="145"/>
      <c r="AC310" s="145"/>
      <c r="AD310" s="145"/>
      <c r="AE310" s="145"/>
      <c r="AF310" s="145"/>
      <c r="AG310" s="145"/>
      <c r="AH310" s="145"/>
      <c r="AI310" s="145"/>
      <c r="AJ310" s="145"/>
      <c r="AK310" s="145"/>
      <c r="AL310" s="145"/>
      <c r="AM310" s="145"/>
      <c r="AN310" s="145"/>
      <c r="AO310" s="145"/>
      <c r="AP310" s="145"/>
      <c r="AQ310" s="145"/>
      <c r="AR310" s="145"/>
      <c r="AS310" s="145"/>
      <c r="AT310" s="145"/>
      <c r="AU310" s="145"/>
      <c r="AV310" s="146"/>
      <c r="AW310" s="146"/>
      <c r="AX310" s="146"/>
      <c r="AY310" s="146"/>
      <c r="AZ310" s="145"/>
      <c r="BA310" s="146"/>
      <c r="BB310" s="145"/>
      <c r="BC310" s="145"/>
      <c r="BD310" s="145"/>
      <c r="BE310" s="145"/>
      <c r="BF310" s="145"/>
      <c r="BG310" s="145"/>
      <c r="BH310" s="145"/>
      <c r="BI310" s="145"/>
      <c r="BJ310" s="145"/>
      <c r="BK310" s="145"/>
    </row>
    <row r="311" spans="1:63" s="147" customFormat="1" ht="15" x14ac:dyDescent="0.25">
      <c r="A311" s="39" t="s">
        <v>590</v>
      </c>
      <c r="B311" s="97" t="s">
        <v>85</v>
      </c>
      <c r="C311" s="103" t="s">
        <v>86</v>
      </c>
      <c r="D311" s="103"/>
      <c r="E311" s="103"/>
      <c r="F311" s="103"/>
      <c r="G311" s="103"/>
      <c r="H311" s="41" t="s">
        <v>75</v>
      </c>
      <c r="I311" s="42">
        <v>0.02</v>
      </c>
      <c r="J311" s="43">
        <v>1</v>
      </c>
      <c r="K311" s="62">
        <v>0.02</v>
      </c>
      <c r="L311" s="45"/>
      <c r="M311" s="42"/>
      <c r="N311" s="45"/>
      <c r="O311" s="42"/>
      <c r="P311" s="50"/>
      <c r="Q311" s="82"/>
      <c r="R311" s="82"/>
      <c r="S311" s="82"/>
      <c r="T311" s="82"/>
      <c r="U311" s="153"/>
      <c r="V311" s="82"/>
      <c r="W311" s="151"/>
      <c r="X311" s="82"/>
      <c r="Y311" s="82"/>
      <c r="Z311" s="82"/>
      <c r="AA311" s="82"/>
      <c r="AB311" s="145"/>
      <c r="AC311" s="145"/>
      <c r="AD311" s="145"/>
      <c r="AE311" s="145"/>
      <c r="AF311" s="145"/>
      <c r="AG311" s="145"/>
      <c r="AH311" s="145"/>
      <c r="AI311" s="145"/>
      <c r="AJ311" s="145"/>
      <c r="AK311" s="145"/>
      <c r="AL311" s="145"/>
      <c r="AM311" s="145"/>
      <c r="AN311" s="145"/>
      <c r="AO311" s="145"/>
      <c r="AP311" s="145"/>
      <c r="AQ311" s="145"/>
      <c r="AR311" s="145"/>
      <c r="AS311" s="145"/>
      <c r="AT311" s="145"/>
      <c r="AU311" s="145"/>
      <c r="AV311" s="146"/>
      <c r="AW311" s="146"/>
      <c r="AX311" s="146"/>
      <c r="AY311" s="146"/>
      <c r="AZ311" s="145"/>
      <c r="BA311" s="146"/>
      <c r="BB311" s="145"/>
      <c r="BC311" s="145"/>
      <c r="BD311" s="145"/>
      <c r="BE311" s="145"/>
      <c r="BF311" s="145"/>
      <c r="BG311" s="145"/>
      <c r="BH311" s="145"/>
      <c r="BI311" s="145"/>
      <c r="BJ311" s="145"/>
      <c r="BK311" s="145"/>
    </row>
    <row r="312" spans="1:63" s="147" customFormat="1" ht="15" x14ac:dyDescent="0.25">
      <c r="A312" s="47"/>
      <c r="B312" s="48"/>
      <c r="C312" s="102" t="s">
        <v>56</v>
      </c>
      <c r="D312" s="102"/>
      <c r="E312" s="102"/>
      <c r="F312" s="102"/>
      <c r="G312" s="102"/>
      <c r="H312" s="41"/>
      <c r="I312" s="42"/>
      <c r="J312" s="42"/>
      <c r="K312" s="42"/>
      <c r="L312" s="45"/>
      <c r="M312" s="42"/>
      <c r="N312" s="49"/>
      <c r="O312" s="42"/>
      <c r="P312" s="50">
        <v>216.5795</v>
      </c>
      <c r="Q312" s="157"/>
      <c r="R312" s="157"/>
      <c r="S312" s="82"/>
      <c r="T312" s="82"/>
      <c r="U312" s="156"/>
      <c r="V312" s="82"/>
      <c r="W312" s="168"/>
      <c r="X312" s="82"/>
      <c r="Y312" s="82"/>
      <c r="Z312" s="82"/>
      <c r="AA312" s="82"/>
      <c r="AB312" s="145"/>
      <c r="AC312" s="145"/>
      <c r="AD312" s="145"/>
      <c r="AE312" s="145"/>
      <c r="AF312" s="145"/>
      <c r="AG312" s="145"/>
      <c r="AH312" s="145"/>
      <c r="AI312" s="145"/>
      <c r="AJ312" s="145"/>
      <c r="AK312" s="145"/>
      <c r="AL312" s="145"/>
      <c r="AM312" s="145"/>
      <c r="AN312" s="145"/>
      <c r="AO312" s="145"/>
      <c r="AP312" s="145"/>
      <c r="AQ312" s="145"/>
      <c r="AR312" s="145"/>
      <c r="AS312" s="145"/>
      <c r="AT312" s="145"/>
      <c r="AU312" s="145"/>
      <c r="AV312" s="146"/>
      <c r="AW312" s="146"/>
      <c r="AX312" s="146"/>
      <c r="AY312" s="146"/>
      <c r="AZ312" s="145"/>
      <c r="BA312" s="146"/>
      <c r="BB312" s="145"/>
      <c r="BC312" s="145"/>
      <c r="BD312" s="145"/>
      <c r="BE312" s="145"/>
      <c r="BF312" s="145"/>
      <c r="BG312" s="145"/>
      <c r="BH312" s="145"/>
      <c r="BI312" s="145"/>
      <c r="BJ312" s="145"/>
      <c r="BK312" s="145"/>
    </row>
    <row r="313" spans="1:63" s="147" customFormat="1" ht="15" x14ac:dyDescent="0.25">
      <c r="A313" s="52"/>
      <c r="B313" s="53"/>
      <c r="C313" s="104" t="s">
        <v>57</v>
      </c>
      <c r="D313" s="104"/>
      <c r="E313" s="104"/>
      <c r="F313" s="104"/>
      <c r="G313" s="104"/>
      <c r="H313" s="54"/>
      <c r="I313" s="55"/>
      <c r="J313" s="55"/>
      <c r="K313" s="55"/>
      <c r="L313" s="56"/>
      <c r="M313" s="55"/>
      <c r="N313" s="56"/>
      <c r="O313" s="55"/>
      <c r="P313" s="77">
        <v>216.5795</v>
      </c>
      <c r="Q313" s="82"/>
      <c r="R313" s="82"/>
      <c r="S313" s="82"/>
      <c r="T313" s="82"/>
      <c r="U313" s="170"/>
      <c r="V313" s="82"/>
      <c r="W313" s="151"/>
      <c r="X313" s="82"/>
      <c r="Y313" s="82"/>
      <c r="Z313" s="82"/>
      <c r="AA313" s="82"/>
      <c r="AB313" s="145"/>
      <c r="AC313" s="145"/>
      <c r="AD313" s="145"/>
      <c r="AE313" s="145"/>
      <c r="AF313" s="145"/>
      <c r="AG313" s="145"/>
      <c r="AH313" s="145"/>
      <c r="AI313" s="145"/>
      <c r="AJ313" s="145"/>
      <c r="AK313" s="145"/>
      <c r="AL313" s="145"/>
      <c r="AM313" s="145"/>
      <c r="AN313" s="145"/>
      <c r="AO313" s="145"/>
      <c r="AP313" s="145"/>
      <c r="AQ313" s="145"/>
      <c r="AR313" s="145"/>
      <c r="AS313" s="145"/>
      <c r="AT313" s="145"/>
      <c r="AU313" s="145"/>
      <c r="AV313" s="146"/>
      <c r="AW313" s="146"/>
      <c r="AX313" s="146"/>
      <c r="AY313" s="146"/>
      <c r="AZ313" s="145"/>
      <c r="BA313" s="146"/>
      <c r="BB313" s="145"/>
      <c r="BC313" s="145"/>
      <c r="BD313" s="145"/>
      <c r="BE313" s="145"/>
      <c r="BF313" s="145"/>
      <c r="BG313" s="145"/>
      <c r="BH313" s="145"/>
      <c r="BI313" s="145"/>
      <c r="BJ313" s="145"/>
      <c r="BK313" s="145"/>
    </row>
    <row r="314" spans="1:63" s="147" customFormat="1" ht="15" x14ac:dyDescent="0.25">
      <c r="A314" s="52"/>
      <c r="B314" s="53" t="s">
        <v>76</v>
      </c>
      <c r="C314" s="104" t="s">
        <v>77</v>
      </c>
      <c r="D314" s="104"/>
      <c r="E314" s="104"/>
      <c r="F314" s="104"/>
      <c r="G314" s="104"/>
      <c r="H314" s="54" t="s">
        <v>60</v>
      </c>
      <c r="I314" s="58">
        <v>91</v>
      </c>
      <c r="J314" s="55"/>
      <c r="K314" s="58">
        <v>91</v>
      </c>
      <c r="L314" s="56"/>
      <c r="M314" s="55"/>
      <c r="N314" s="56"/>
      <c r="O314" s="55"/>
      <c r="P314" s="77">
        <v>197.08699999999999</v>
      </c>
      <c r="Q314" s="82"/>
      <c r="R314" s="82"/>
      <c r="S314" s="82"/>
      <c r="T314" s="82"/>
      <c r="U314" s="170"/>
      <c r="V314" s="82"/>
      <c r="W314" s="160"/>
      <c r="X314" s="82"/>
      <c r="Y314" s="82"/>
      <c r="Z314" s="82"/>
      <c r="AA314" s="82"/>
      <c r="AB314" s="145"/>
      <c r="AC314" s="145"/>
      <c r="AD314" s="145"/>
      <c r="AE314" s="145"/>
      <c r="AF314" s="145"/>
      <c r="AG314" s="145"/>
      <c r="AH314" s="145"/>
      <c r="AI314" s="145"/>
      <c r="AJ314" s="145"/>
      <c r="AK314" s="145"/>
      <c r="AL314" s="145"/>
      <c r="AM314" s="145"/>
      <c r="AN314" s="145"/>
      <c r="AO314" s="145"/>
      <c r="AP314" s="145"/>
      <c r="AQ314" s="145"/>
      <c r="AR314" s="145"/>
      <c r="AS314" s="145"/>
      <c r="AT314" s="145"/>
      <c r="AU314" s="145"/>
      <c r="AV314" s="146"/>
      <c r="AW314" s="146"/>
      <c r="AX314" s="146"/>
      <c r="AY314" s="146"/>
      <c r="AZ314" s="145"/>
      <c r="BA314" s="146"/>
      <c r="BB314" s="145"/>
      <c r="BC314" s="145"/>
      <c r="BD314" s="145"/>
      <c r="BE314" s="145"/>
      <c r="BF314" s="145"/>
      <c r="BG314" s="145"/>
      <c r="BH314" s="145"/>
      <c r="BI314" s="145"/>
      <c r="BJ314" s="145"/>
      <c r="BK314" s="145"/>
    </row>
    <row r="315" spans="1:63" s="147" customFormat="1" ht="15" x14ac:dyDescent="0.25">
      <c r="A315" s="52"/>
      <c r="B315" s="53" t="s">
        <v>78</v>
      </c>
      <c r="C315" s="104" t="s">
        <v>79</v>
      </c>
      <c r="D315" s="104"/>
      <c r="E315" s="104"/>
      <c r="F315" s="104"/>
      <c r="G315" s="104"/>
      <c r="H315" s="54" t="s">
        <v>60</v>
      </c>
      <c r="I315" s="58">
        <v>48</v>
      </c>
      <c r="J315" s="55"/>
      <c r="K315" s="58">
        <v>48</v>
      </c>
      <c r="L315" s="56"/>
      <c r="M315" s="55"/>
      <c r="N315" s="56"/>
      <c r="O315" s="55"/>
      <c r="P315" s="77">
        <v>103.96</v>
      </c>
      <c r="Q315" s="82"/>
      <c r="R315" s="82"/>
      <c r="S315" s="82"/>
      <c r="T315" s="82"/>
      <c r="U315" s="170"/>
      <c r="V315" s="82"/>
      <c r="W315" s="164"/>
      <c r="X315" s="82"/>
      <c r="Y315" s="82"/>
      <c r="Z315" s="82"/>
      <c r="AA315" s="82"/>
      <c r="AB315" s="145"/>
      <c r="AC315" s="145"/>
      <c r="AD315" s="145"/>
      <c r="AE315" s="145"/>
      <c r="AF315" s="145"/>
      <c r="AG315" s="145"/>
      <c r="AH315" s="145"/>
      <c r="AI315" s="145"/>
      <c r="AJ315" s="145"/>
      <c r="AK315" s="145"/>
      <c r="AL315" s="145"/>
      <c r="AM315" s="145"/>
      <c r="AN315" s="145"/>
      <c r="AO315" s="145"/>
      <c r="AP315" s="145"/>
      <c r="AQ315" s="145"/>
      <c r="AR315" s="145"/>
      <c r="AS315" s="145"/>
      <c r="AT315" s="145"/>
      <c r="AU315" s="145"/>
      <c r="AV315" s="146"/>
      <c r="AW315" s="146"/>
      <c r="AX315" s="146"/>
      <c r="AY315" s="146"/>
      <c r="AZ315" s="145"/>
      <c r="BA315" s="146"/>
      <c r="BB315" s="145"/>
      <c r="BC315" s="145"/>
      <c r="BD315" s="145"/>
      <c r="BE315" s="145"/>
      <c r="BF315" s="145"/>
      <c r="BG315" s="145"/>
      <c r="BH315" s="145"/>
      <c r="BI315" s="145"/>
      <c r="BJ315" s="145"/>
      <c r="BK315" s="145"/>
    </row>
    <row r="316" spans="1:63" s="147" customFormat="1" ht="15" x14ac:dyDescent="0.25">
      <c r="A316" s="59"/>
      <c r="B316" s="98"/>
      <c r="C316" s="102" t="s">
        <v>63</v>
      </c>
      <c r="D316" s="102"/>
      <c r="E316" s="102"/>
      <c r="F316" s="102"/>
      <c r="G316" s="102"/>
      <c r="H316" s="41"/>
      <c r="I316" s="42"/>
      <c r="J316" s="42"/>
      <c r="K316" s="42"/>
      <c r="L316" s="45"/>
      <c r="M316" s="42"/>
      <c r="N316" s="49">
        <v>22505.5</v>
      </c>
      <c r="O316" s="42"/>
      <c r="P316" s="50">
        <v>517.62649999999996</v>
      </c>
      <c r="Q316" s="82"/>
      <c r="R316" s="82"/>
      <c r="S316" s="82"/>
      <c r="T316" s="82"/>
      <c r="U316" s="167"/>
      <c r="V316" s="82"/>
      <c r="W316" s="164"/>
      <c r="X316" s="82"/>
      <c r="Y316" s="82"/>
      <c r="Z316" s="82"/>
      <c r="AA316" s="82"/>
      <c r="AB316" s="145"/>
      <c r="AC316" s="145"/>
      <c r="AD316" s="145"/>
      <c r="AE316" s="145"/>
      <c r="AF316" s="145"/>
      <c r="AG316" s="145"/>
      <c r="AH316" s="145"/>
      <c r="AI316" s="145"/>
      <c r="AJ316" s="145"/>
      <c r="AK316" s="145"/>
      <c r="AL316" s="145"/>
      <c r="AM316" s="145"/>
      <c r="AN316" s="145"/>
      <c r="AO316" s="145"/>
      <c r="AP316" s="145"/>
      <c r="AQ316" s="145"/>
      <c r="AR316" s="145"/>
      <c r="AS316" s="145"/>
      <c r="AT316" s="145"/>
      <c r="AU316" s="145"/>
      <c r="AV316" s="146"/>
      <c r="AW316" s="146"/>
      <c r="AX316" s="146"/>
      <c r="AY316" s="146"/>
      <c r="AZ316" s="145"/>
      <c r="BA316" s="146"/>
      <c r="BB316" s="145"/>
      <c r="BC316" s="145"/>
      <c r="BD316" s="145"/>
      <c r="BE316" s="145"/>
      <c r="BF316" s="145"/>
      <c r="BG316" s="145"/>
      <c r="BH316" s="145"/>
      <c r="BI316" s="145"/>
      <c r="BJ316" s="145"/>
      <c r="BK316" s="145"/>
    </row>
    <row r="317" spans="1:63" s="147" customFormat="1" ht="15" x14ac:dyDescent="0.25">
      <c r="A317" s="39" t="s">
        <v>591</v>
      </c>
      <c r="B317" s="97" t="s">
        <v>88</v>
      </c>
      <c r="C317" s="103" t="s">
        <v>89</v>
      </c>
      <c r="D317" s="103"/>
      <c r="E317" s="103"/>
      <c r="F317" s="103"/>
      <c r="G317" s="103"/>
      <c r="H317" s="41" t="s">
        <v>83</v>
      </c>
      <c r="I317" s="42">
        <v>2</v>
      </c>
      <c r="J317" s="43">
        <v>1</v>
      </c>
      <c r="K317" s="43">
        <v>2</v>
      </c>
      <c r="L317" s="61">
        <v>42.54</v>
      </c>
      <c r="M317" s="62">
        <v>1.42</v>
      </c>
      <c r="N317" s="61">
        <v>60.41</v>
      </c>
      <c r="O317" s="42"/>
      <c r="P317" s="50">
        <v>138.94299999999998</v>
      </c>
      <c r="Q317" s="82"/>
      <c r="R317" s="82"/>
      <c r="S317" s="82"/>
      <c r="T317" s="82"/>
      <c r="U317" s="167"/>
      <c r="V317" s="82"/>
      <c r="W317" s="151"/>
      <c r="X317" s="82"/>
      <c r="Y317" s="82"/>
      <c r="Z317" s="82"/>
      <c r="AA317" s="82"/>
      <c r="AB317" s="145"/>
      <c r="AC317" s="145"/>
      <c r="AD317" s="145"/>
      <c r="AE317" s="145"/>
      <c r="AF317" s="145"/>
      <c r="AG317" s="145"/>
      <c r="AH317" s="145"/>
      <c r="AI317" s="145"/>
      <c r="AJ317" s="145"/>
      <c r="AK317" s="145"/>
      <c r="AL317" s="145"/>
      <c r="AM317" s="145"/>
      <c r="AN317" s="145"/>
      <c r="AO317" s="145"/>
      <c r="AP317" s="145"/>
      <c r="AQ317" s="145"/>
      <c r="AR317" s="145"/>
      <c r="AS317" s="145"/>
      <c r="AT317" s="145"/>
      <c r="AU317" s="145"/>
      <c r="AV317" s="146"/>
      <c r="AW317" s="146"/>
      <c r="AX317" s="146"/>
      <c r="AY317" s="146"/>
      <c r="AZ317" s="145"/>
      <c r="BA317" s="146"/>
      <c r="BB317" s="145"/>
      <c r="BC317" s="145"/>
      <c r="BD317" s="145"/>
      <c r="BE317" s="145"/>
      <c r="BF317" s="145"/>
      <c r="BG317" s="145"/>
      <c r="BH317" s="145"/>
      <c r="BI317" s="145"/>
      <c r="BJ317" s="145"/>
      <c r="BK317" s="145"/>
    </row>
    <row r="318" spans="1:63" s="147" customFormat="1" ht="15" x14ac:dyDescent="0.25">
      <c r="A318" s="59"/>
      <c r="B318" s="98"/>
      <c r="C318" s="102" t="s">
        <v>63</v>
      </c>
      <c r="D318" s="102"/>
      <c r="E318" s="102"/>
      <c r="F318" s="102"/>
      <c r="G318" s="102"/>
      <c r="H318" s="41"/>
      <c r="I318" s="42"/>
      <c r="J318" s="42"/>
      <c r="K318" s="42"/>
      <c r="L318" s="45"/>
      <c r="M318" s="42"/>
      <c r="N318" s="45"/>
      <c r="O318" s="42"/>
      <c r="P318" s="50">
        <v>138.94299999999998</v>
      </c>
      <c r="Q318" s="82"/>
      <c r="R318" s="82"/>
      <c r="S318" s="82"/>
      <c r="T318" s="82"/>
      <c r="U318" s="167"/>
      <c r="V318" s="82"/>
      <c r="W318" s="152"/>
      <c r="X318" s="82"/>
      <c r="Y318" s="82"/>
      <c r="Z318" s="82"/>
      <c r="AA318" s="82"/>
      <c r="AB318" s="145"/>
      <c r="AC318" s="145"/>
      <c r="AD318" s="145"/>
      <c r="AE318" s="145"/>
      <c r="AF318" s="145"/>
      <c r="AG318" s="145"/>
      <c r="AH318" s="145"/>
      <c r="AI318" s="145"/>
      <c r="AJ318" s="145"/>
      <c r="AK318" s="145"/>
      <c r="AL318" s="145"/>
      <c r="AM318" s="145"/>
      <c r="AN318" s="145"/>
      <c r="AO318" s="145"/>
      <c r="AP318" s="145"/>
      <c r="AQ318" s="145"/>
      <c r="AR318" s="145"/>
      <c r="AS318" s="145"/>
      <c r="AT318" s="145"/>
      <c r="AU318" s="145"/>
      <c r="AV318" s="146"/>
      <c r="AW318" s="146"/>
      <c r="AX318" s="146"/>
      <c r="AY318" s="146"/>
      <c r="AZ318" s="145"/>
      <c r="BA318" s="146"/>
      <c r="BB318" s="145"/>
      <c r="BC318" s="145"/>
      <c r="BD318" s="145"/>
      <c r="BE318" s="145"/>
      <c r="BF318" s="145"/>
      <c r="BG318" s="145"/>
      <c r="BH318" s="145"/>
      <c r="BI318" s="145"/>
      <c r="BJ318" s="145"/>
      <c r="BK318" s="145"/>
    </row>
    <row r="319" spans="1:63" s="147" customFormat="1" ht="15" x14ac:dyDescent="0.25">
      <c r="A319" s="39" t="s">
        <v>592</v>
      </c>
      <c r="B319" s="97" t="s">
        <v>91</v>
      </c>
      <c r="C319" s="103" t="s">
        <v>92</v>
      </c>
      <c r="D319" s="103"/>
      <c r="E319" s="103"/>
      <c r="F319" s="103"/>
      <c r="G319" s="103"/>
      <c r="H319" s="41" t="s">
        <v>93</v>
      </c>
      <c r="I319" s="42">
        <v>2E-3</v>
      </c>
      <c r="J319" s="43">
        <v>1</v>
      </c>
      <c r="K319" s="66">
        <v>2E-3</v>
      </c>
      <c r="L319" s="49">
        <v>7782.25</v>
      </c>
      <c r="M319" s="62">
        <v>0.85</v>
      </c>
      <c r="N319" s="49">
        <v>6614.91</v>
      </c>
      <c r="O319" s="42"/>
      <c r="P319" s="50">
        <v>15.214499999999999</v>
      </c>
      <c r="Q319" s="82"/>
      <c r="R319" s="82"/>
      <c r="S319" s="82"/>
      <c r="T319" s="82"/>
      <c r="U319" s="167"/>
      <c r="V319" s="82"/>
      <c r="W319" s="151"/>
      <c r="X319" s="82"/>
      <c r="Y319" s="82"/>
      <c r="Z319" s="82"/>
      <c r="AA319" s="82"/>
      <c r="AB319" s="145"/>
      <c r="AC319" s="145"/>
      <c r="AD319" s="145"/>
      <c r="AE319" s="145"/>
      <c r="AF319" s="145"/>
      <c r="AG319" s="145"/>
      <c r="AH319" s="145"/>
      <c r="AI319" s="145"/>
      <c r="AJ319" s="145"/>
      <c r="AK319" s="145"/>
      <c r="AL319" s="145"/>
      <c r="AM319" s="145"/>
      <c r="AN319" s="145"/>
      <c r="AO319" s="145"/>
      <c r="AP319" s="145"/>
      <c r="AQ319" s="145"/>
      <c r="AR319" s="145"/>
      <c r="AS319" s="145"/>
      <c r="AT319" s="145"/>
      <c r="AU319" s="145"/>
      <c r="AV319" s="146"/>
      <c r="AW319" s="146"/>
      <c r="AX319" s="146"/>
      <c r="AY319" s="146"/>
      <c r="AZ319" s="145"/>
      <c r="BA319" s="146"/>
      <c r="BB319" s="145"/>
      <c r="BC319" s="145"/>
      <c r="BD319" s="145"/>
      <c r="BE319" s="145"/>
      <c r="BF319" s="145"/>
      <c r="BG319" s="145"/>
      <c r="BH319" s="145"/>
      <c r="BI319" s="145"/>
      <c r="BJ319" s="145"/>
      <c r="BK319" s="145"/>
    </row>
    <row r="320" spans="1:63" s="147" customFormat="1" ht="15" x14ac:dyDescent="0.25">
      <c r="A320" s="59"/>
      <c r="B320" s="98"/>
      <c r="C320" s="102" t="s">
        <v>63</v>
      </c>
      <c r="D320" s="102"/>
      <c r="E320" s="102"/>
      <c r="F320" s="102"/>
      <c r="G320" s="102"/>
      <c r="H320" s="41"/>
      <c r="I320" s="42"/>
      <c r="J320" s="42"/>
      <c r="K320" s="42"/>
      <c r="L320" s="45"/>
      <c r="M320" s="42"/>
      <c r="N320" s="45"/>
      <c r="O320" s="42"/>
      <c r="P320" s="50">
        <v>15.214499999999999</v>
      </c>
      <c r="Q320" s="82"/>
      <c r="R320" s="82"/>
      <c r="S320" s="82"/>
      <c r="T320" s="82"/>
      <c r="U320" s="167"/>
      <c r="V320" s="82"/>
      <c r="W320" s="171"/>
      <c r="X320" s="82"/>
      <c r="Y320" s="82"/>
      <c r="Z320" s="82"/>
      <c r="AA320" s="82"/>
      <c r="AB320" s="145"/>
      <c r="AC320" s="145"/>
      <c r="AD320" s="145"/>
      <c r="AE320" s="145"/>
      <c r="AF320" s="145"/>
      <c r="AG320" s="145"/>
      <c r="AH320" s="145"/>
      <c r="AI320" s="145"/>
      <c r="AJ320" s="145"/>
      <c r="AK320" s="145"/>
      <c r="AL320" s="145"/>
      <c r="AM320" s="145"/>
      <c r="AN320" s="145"/>
      <c r="AO320" s="145"/>
      <c r="AP320" s="145"/>
      <c r="AQ320" s="145"/>
      <c r="AR320" s="145"/>
      <c r="AS320" s="145"/>
      <c r="AT320" s="145"/>
      <c r="AU320" s="145"/>
      <c r="AV320" s="146"/>
      <c r="AW320" s="146"/>
      <c r="AX320" s="146"/>
      <c r="AY320" s="146"/>
      <c r="AZ320" s="145"/>
      <c r="BA320" s="146"/>
      <c r="BB320" s="145"/>
      <c r="BC320" s="145"/>
      <c r="BD320" s="145"/>
      <c r="BE320" s="145"/>
      <c r="BF320" s="145"/>
      <c r="BG320" s="145"/>
      <c r="BH320" s="145"/>
      <c r="BI320" s="145"/>
      <c r="BJ320" s="145"/>
      <c r="BK320" s="145"/>
    </row>
    <row r="321" spans="1:63" s="147" customFormat="1" ht="15" x14ac:dyDescent="0.25">
      <c r="A321" s="107" t="s">
        <v>94</v>
      </c>
      <c r="B321" s="108"/>
      <c r="C321" s="108"/>
      <c r="D321" s="108"/>
      <c r="E321" s="108"/>
      <c r="F321" s="108"/>
      <c r="G321" s="108"/>
      <c r="H321" s="108"/>
      <c r="I321" s="108"/>
      <c r="J321" s="108"/>
      <c r="K321" s="108"/>
      <c r="L321" s="108"/>
      <c r="M321" s="108"/>
      <c r="N321" s="108"/>
      <c r="O321" s="108"/>
      <c r="P321" s="109"/>
      <c r="Q321" s="82"/>
      <c r="R321" s="82"/>
      <c r="S321" s="82"/>
      <c r="T321" s="82"/>
      <c r="U321" s="82"/>
      <c r="V321" s="82"/>
      <c r="W321" s="151"/>
      <c r="X321" s="82"/>
      <c r="Y321" s="82"/>
      <c r="Z321" s="82"/>
      <c r="AA321" s="82"/>
      <c r="AB321" s="145"/>
      <c r="AC321" s="145"/>
      <c r="AD321" s="145"/>
      <c r="AE321" s="145"/>
      <c r="AF321" s="145"/>
      <c r="AG321" s="145"/>
      <c r="AH321" s="145"/>
      <c r="AI321" s="145"/>
      <c r="AJ321" s="145"/>
      <c r="AK321" s="145"/>
      <c r="AL321" s="145"/>
      <c r="AM321" s="145"/>
      <c r="AN321" s="145"/>
      <c r="AO321" s="145"/>
      <c r="AP321" s="145"/>
      <c r="AQ321" s="145"/>
      <c r="AR321" s="145"/>
      <c r="AS321" s="145"/>
      <c r="AT321" s="145"/>
      <c r="AU321" s="145"/>
      <c r="AV321" s="146"/>
      <c r="AW321" s="146"/>
      <c r="AX321" s="146"/>
      <c r="AY321" s="146"/>
      <c r="AZ321" s="145"/>
      <c r="BA321" s="146"/>
      <c r="BB321" s="145"/>
      <c r="BC321" s="145"/>
      <c r="BD321" s="145"/>
      <c r="BE321" s="145"/>
      <c r="BF321" s="145"/>
      <c r="BG321" s="145"/>
      <c r="BH321" s="145"/>
      <c r="BI321" s="145"/>
      <c r="BJ321" s="145"/>
      <c r="BK321" s="145"/>
    </row>
    <row r="322" spans="1:63" s="147" customFormat="1" ht="15" x14ac:dyDescent="0.25">
      <c r="A322" s="39" t="s">
        <v>593</v>
      </c>
      <c r="B322" s="97" t="s">
        <v>96</v>
      </c>
      <c r="C322" s="105" t="s">
        <v>308</v>
      </c>
      <c r="D322" s="105"/>
      <c r="E322" s="105"/>
      <c r="F322" s="105"/>
      <c r="G322" s="105"/>
      <c r="H322" s="41" t="s">
        <v>55</v>
      </c>
      <c r="I322" s="44">
        <v>1.5599999999999999E-2</v>
      </c>
      <c r="J322" s="43">
        <v>1</v>
      </c>
      <c r="K322" s="44">
        <f>I322</f>
        <v>1.5599999999999999E-2</v>
      </c>
      <c r="L322" s="45"/>
      <c r="M322" s="42"/>
      <c r="N322" s="45"/>
      <c r="O322" s="42"/>
      <c r="P322" s="46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145"/>
      <c r="AC322" s="145"/>
      <c r="AD322" s="145"/>
      <c r="AE322" s="145"/>
      <c r="AF322" s="145"/>
      <c r="AG322" s="145"/>
      <c r="AH322" s="145"/>
      <c r="AI322" s="145"/>
      <c r="AJ322" s="145"/>
      <c r="AK322" s="145"/>
      <c r="AL322" s="145"/>
      <c r="AM322" s="145"/>
      <c r="AN322" s="145"/>
      <c r="AO322" s="145"/>
      <c r="AP322" s="145"/>
      <c r="AQ322" s="145"/>
      <c r="AR322" s="145"/>
      <c r="AS322" s="145"/>
      <c r="AT322" s="145"/>
      <c r="AU322" s="145"/>
      <c r="AV322" s="146"/>
      <c r="AW322" s="146"/>
      <c r="AX322" s="146"/>
      <c r="AY322" s="146"/>
      <c r="AZ322" s="145"/>
      <c r="BA322" s="146"/>
      <c r="BB322" s="145"/>
      <c r="BC322" s="145"/>
      <c r="BD322" s="145"/>
      <c r="BE322" s="145"/>
      <c r="BF322" s="145"/>
      <c r="BG322" s="145"/>
      <c r="BH322" s="145"/>
      <c r="BI322" s="145"/>
      <c r="BJ322" s="145"/>
      <c r="BK322" s="145"/>
    </row>
    <row r="323" spans="1:63" s="147" customFormat="1" ht="15" x14ac:dyDescent="0.25">
      <c r="A323" s="47"/>
      <c r="B323" s="48"/>
      <c r="C323" s="106" t="s">
        <v>56</v>
      </c>
      <c r="D323" s="106"/>
      <c r="E323" s="106"/>
      <c r="F323" s="106"/>
      <c r="G323" s="106"/>
      <c r="H323" s="41"/>
      <c r="I323" s="42"/>
      <c r="J323" s="42"/>
      <c r="K323" s="42"/>
      <c r="L323" s="45"/>
      <c r="M323" s="42"/>
      <c r="N323" s="49"/>
      <c r="O323" s="42"/>
      <c r="P323" s="50">
        <v>1167.204</v>
      </c>
      <c r="Q323" s="157"/>
      <c r="R323" s="157"/>
      <c r="S323" s="82"/>
      <c r="T323" s="82"/>
      <c r="U323" s="156"/>
      <c r="V323" s="82"/>
      <c r="W323" s="168"/>
      <c r="X323" s="82"/>
      <c r="Y323" s="82"/>
      <c r="Z323" s="82"/>
      <c r="AA323" s="82"/>
      <c r="AB323" s="145"/>
      <c r="AC323" s="145"/>
      <c r="AD323" s="145"/>
      <c r="AE323" s="145"/>
      <c r="AF323" s="145"/>
      <c r="AG323" s="145"/>
      <c r="AH323" s="145"/>
      <c r="AI323" s="145"/>
      <c r="AJ323" s="145"/>
      <c r="AK323" s="145"/>
      <c r="AL323" s="145"/>
      <c r="AM323" s="145"/>
      <c r="AN323" s="145"/>
      <c r="AO323" s="145"/>
      <c r="AP323" s="145"/>
      <c r="AQ323" s="145"/>
      <c r="AR323" s="145"/>
      <c r="AS323" s="145"/>
      <c r="AT323" s="145"/>
      <c r="AU323" s="145"/>
      <c r="AV323" s="146"/>
      <c r="AW323" s="146"/>
      <c r="AX323" s="146"/>
      <c r="AY323" s="146"/>
      <c r="AZ323" s="145"/>
      <c r="BA323" s="146"/>
      <c r="BB323" s="145"/>
      <c r="BC323" s="145"/>
      <c r="BD323" s="145"/>
      <c r="BE323" s="145"/>
      <c r="BF323" s="145"/>
      <c r="BG323" s="145"/>
      <c r="BH323" s="145"/>
      <c r="BI323" s="145"/>
      <c r="BJ323" s="145"/>
      <c r="BK323" s="145"/>
    </row>
    <row r="324" spans="1:63" s="147" customFormat="1" ht="15" x14ac:dyDescent="0.25">
      <c r="A324" s="52"/>
      <c r="B324" s="53"/>
      <c r="C324" s="110" t="s">
        <v>57</v>
      </c>
      <c r="D324" s="110"/>
      <c r="E324" s="110"/>
      <c r="F324" s="110"/>
      <c r="G324" s="110"/>
      <c r="H324" s="54"/>
      <c r="I324" s="55"/>
      <c r="J324" s="55"/>
      <c r="K324" s="55"/>
      <c r="L324" s="56"/>
      <c r="M324" s="55"/>
      <c r="N324" s="56"/>
      <c r="O324" s="55"/>
      <c r="P324" s="77">
        <v>718.45099999999991</v>
      </c>
      <c r="Q324" s="82"/>
      <c r="R324" s="82"/>
      <c r="S324" s="82"/>
      <c r="T324" s="82"/>
      <c r="U324" s="170"/>
      <c r="V324" s="82"/>
      <c r="W324" s="151"/>
      <c r="X324" s="82"/>
      <c r="Y324" s="82"/>
      <c r="Z324" s="82"/>
      <c r="AA324" s="82"/>
      <c r="AB324" s="145"/>
      <c r="AC324" s="145"/>
      <c r="AD324" s="145"/>
      <c r="AE324" s="145"/>
      <c r="AF324" s="145"/>
      <c r="AG324" s="145"/>
      <c r="AH324" s="145"/>
      <c r="AI324" s="145"/>
      <c r="AJ324" s="145"/>
      <c r="AK324" s="145"/>
      <c r="AL324" s="145"/>
      <c r="AM324" s="145"/>
      <c r="AN324" s="145"/>
      <c r="AO324" s="145"/>
      <c r="AP324" s="145"/>
      <c r="AQ324" s="145"/>
      <c r="AR324" s="145"/>
      <c r="AS324" s="145"/>
      <c r="AT324" s="145"/>
      <c r="AU324" s="145"/>
      <c r="AV324" s="146"/>
      <c r="AW324" s="146"/>
      <c r="AX324" s="146"/>
      <c r="AY324" s="146"/>
      <c r="AZ324" s="145"/>
      <c r="BA324" s="146"/>
      <c r="BB324" s="145"/>
      <c r="BC324" s="145"/>
      <c r="BD324" s="145"/>
      <c r="BE324" s="145"/>
      <c r="BF324" s="145"/>
      <c r="BG324" s="145"/>
      <c r="BH324" s="145"/>
      <c r="BI324" s="145"/>
      <c r="BJ324" s="145"/>
      <c r="BK324" s="145"/>
    </row>
    <row r="325" spans="1:63" s="147" customFormat="1" ht="15" x14ac:dyDescent="0.25">
      <c r="A325" s="52"/>
      <c r="B325" s="53" t="s">
        <v>98</v>
      </c>
      <c r="C325" s="110" t="s">
        <v>99</v>
      </c>
      <c r="D325" s="110"/>
      <c r="E325" s="110"/>
      <c r="F325" s="110"/>
      <c r="G325" s="110"/>
      <c r="H325" s="54" t="s">
        <v>60</v>
      </c>
      <c r="I325" s="58">
        <v>108</v>
      </c>
      <c r="J325" s="55"/>
      <c r="K325" s="58">
        <v>108</v>
      </c>
      <c r="L325" s="56"/>
      <c r="M325" s="55"/>
      <c r="N325" s="56"/>
      <c r="O325" s="55"/>
      <c r="P325" s="77">
        <v>775.928</v>
      </c>
      <c r="Q325" s="82"/>
      <c r="R325" s="82"/>
      <c r="S325" s="82"/>
      <c r="T325" s="82"/>
      <c r="U325" s="170"/>
      <c r="V325" s="82"/>
      <c r="W325" s="160"/>
      <c r="X325" s="82"/>
      <c r="Y325" s="82"/>
      <c r="Z325" s="82"/>
      <c r="AA325" s="82"/>
      <c r="AB325" s="145"/>
      <c r="AC325" s="145"/>
      <c r="AD325" s="145"/>
      <c r="AE325" s="145"/>
      <c r="AF325" s="145"/>
      <c r="AG325" s="145"/>
      <c r="AH325" s="145"/>
      <c r="AI325" s="145"/>
      <c r="AJ325" s="145"/>
      <c r="AK325" s="145"/>
      <c r="AL325" s="145"/>
      <c r="AM325" s="145"/>
      <c r="AN325" s="145"/>
      <c r="AO325" s="145"/>
      <c r="AP325" s="145"/>
      <c r="AQ325" s="145"/>
      <c r="AR325" s="145"/>
      <c r="AS325" s="145"/>
      <c r="AT325" s="145"/>
      <c r="AU325" s="145"/>
      <c r="AV325" s="146"/>
      <c r="AW325" s="146"/>
      <c r="AX325" s="146"/>
      <c r="AY325" s="146"/>
      <c r="AZ325" s="145"/>
      <c r="BA325" s="146"/>
      <c r="BB325" s="145"/>
      <c r="BC325" s="145"/>
      <c r="BD325" s="145"/>
      <c r="BE325" s="145"/>
      <c r="BF325" s="145"/>
      <c r="BG325" s="145"/>
      <c r="BH325" s="145"/>
      <c r="BI325" s="145"/>
      <c r="BJ325" s="145"/>
      <c r="BK325" s="145"/>
    </row>
    <row r="326" spans="1:63" s="147" customFormat="1" ht="15" x14ac:dyDescent="0.25">
      <c r="A326" s="52"/>
      <c r="B326" s="53" t="s">
        <v>100</v>
      </c>
      <c r="C326" s="110" t="s">
        <v>101</v>
      </c>
      <c r="D326" s="110"/>
      <c r="E326" s="110"/>
      <c r="F326" s="110"/>
      <c r="G326" s="110"/>
      <c r="H326" s="54" t="s">
        <v>60</v>
      </c>
      <c r="I326" s="58">
        <v>55</v>
      </c>
      <c r="J326" s="55"/>
      <c r="K326" s="58">
        <v>55</v>
      </c>
      <c r="L326" s="56"/>
      <c r="M326" s="55"/>
      <c r="N326" s="56"/>
      <c r="O326" s="55"/>
      <c r="P326" s="77">
        <v>395.1515</v>
      </c>
      <c r="Q326" s="82"/>
      <c r="R326" s="82"/>
      <c r="S326" s="82"/>
      <c r="T326" s="82"/>
      <c r="U326" s="170"/>
      <c r="V326" s="82"/>
      <c r="W326" s="164"/>
      <c r="X326" s="82"/>
      <c r="Y326" s="82"/>
      <c r="Z326" s="82"/>
      <c r="AA326" s="82"/>
      <c r="AB326" s="145"/>
      <c r="AC326" s="145"/>
      <c r="AD326" s="145"/>
      <c r="AE326" s="145"/>
      <c r="AF326" s="145"/>
      <c r="AG326" s="145"/>
      <c r="AH326" s="145"/>
      <c r="AI326" s="145"/>
      <c r="AJ326" s="145"/>
      <c r="AK326" s="145"/>
      <c r="AL326" s="145"/>
      <c r="AM326" s="145"/>
      <c r="AN326" s="145"/>
      <c r="AO326" s="145"/>
      <c r="AP326" s="145"/>
      <c r="AQ326" s="145"/>
      <c r="AR326" s="145"/>
      <c r="AS326" s="145"/>
      <c r="AT326" s="145"/>
      <c r="AU326" s="145"/>
      <c r="AV326" s="146"/>
      <c r="AW326" s="146"/>
      <c r="AX326" s="146"/>
      <c r="AY326" s="146"/>
      <c r="AZ326" s="145"/>
      <c r="BA326" s="146"/>
      <c r="BB326" s="145"/>
      <c r="BC326" s="145"/>
      <c r="BD326" s="145"/>
      <c r="BE326" s="145"/>
      <c r="BF326" s="145"/>
      <c r="BG326" s="145"/>
      <c r="BH326" s="145"/>
      <c r="BI326" s="145"/>
      <c r="BJ326" s="145"/>
      <c r="BK326" s="145"/>
    </row>
    <row r="327" spans="1:63" s="147" customFormat="1" ht="15" x14ac:dyDescent="0.25">
      <c r="A327" s="59"/>
      <c r="B327" s="98"/>
      <c r="C327" s="106" t="s">
        <v>63</v>
      </c>
      <c r="D327" s="106"/>
      <c r="E327" s="106"/>
      <c r="F327" s="106"/>
      <c r="G327" s="106"/>
      <c r="H327" s="41"/>
      <c r="I327" s="42"/>
      <c r="J327" s="42"/>
      <c r="K327" s="42"/>
      <c r="L327" s="45"/>
      <c r="M327" s="42"/>
      <c r="N327" s="49">
        <v>101664.5</v>
      </c>
      <c r="O327" s="42"/>
      <c r="P327" s="50">
        <v>3215.8765599999997</v>
      </c>
      <c r="Q327" s="82"/>
      <c r="R327" s="82"/>
      <c r="S327" s="82"/>
      <c r="T327" s="82"/>
      <c r="U327" s="156"/>
      <c r="V327" s="82"/>
      <c r="W327" s="164"/>
      <c r="X327" s="82"/>
      <c r="Y327" s="82"/>
      <c r="Z327" s="82"/>
      <c r="AA327" s="82"/>
      <c r="AB327" s="145"/>
      <c r="AC327" s="145"/>
      <c r="AD327" s="145"/>
      <c r="AE327" s="145"/>
      <c r="AF327" s="145"/>
      <c r="AG327" s="145"/>
      <c r="AH327" s="145"/>
      <c r="AI327" s="145"/>
      <c r="AJ327" s="145"/>
      <c r="AK327" s="145"/>
      <c r="AL327" s="145"/>
      <c r="AM327" s="145"/>
      <c r="AN327" s="145"/>
      <c r="AO327" s="145"/>
      <c r="AP327" s="145"/>
      <c r="AQ327" s="145"/>
      <c r="AR327" s="145"/>
      <c r="AS327" s="145"/>
      <c r="AT327" s="145"/>
      <c r="AU327" s="145"/>
      <c r="AV327" s="146"/>
      <c r="AW327" s="146"/>
      <c r="AX327" s="146"/>
      <c r="AY327" s="146"/>
      <c r="AZ327" s="145"/>
      <c r="BA327" s="146"/>
      <c r="BB327" s="145"/>
      <c r="BC327" s="145"/>
      <c r="BD327" s="145"/>
      <c r="BE327" s="145"/>
      <c r="BF327" s="145"/>
      <c r="BG327" s="145"/>
      <c r="BH327" s="145"/>
      <c r="BI327" s="145"/>
      <c r="BJ327" s="145"/>
      <c r="BK327" s="145"/>
    </row>
    <row r="328" spans="1:63" s="147" customFormat="1" ht="15" x14ac:dyDescent="0.25">
      <c r="A328" s="39" t="s">
        <v>594</v>
      </c>
      <c r="B328" s="97" t="s">
        <v>103</v>
      </c>
      <c r="C328" s="105" t="s">
        <v>309</v>
      </c>
      <c r="D328" s="105"/>
      <c r="E328" s="105"/>
      <c r="F328" s="105"/>
      <c r="G328" s="105"/>
      <c r="H328" s="41" t="s">
        <v>83</v>
      </c>
      <c r="I328" s="42">
        <v>14</v>
      </c>
      <c r="J328" s="43">
        <v>1</v>
      </c>
      <c r="K328" s="67">
        <v>14</v>
      </c>
      <c r="L328" s="61">
        <v>92.12</v>
      </c>
      <c r="M328" s="62">
        <v>1.48</v>
      </c>
      <c r="N328" s="61">
        <v>136.34</v>
      </c>
      <c r="O328" s="42"/>
      <c r="P328" s="50">
        <v>2453.9727333333335</v>
      </c>
      <c r="Q328" s="82"/>
      <c r="R328" s="82"/>
      <c r="S328" s="82"/>
      <c r="T328" s="82"/>
      <c r="U328" s="167"/>
      <c r="V328" s="82"/>
      <c r="W328" s="151"/>
      <c r="X328" s="82"/>
      <c r="Y328" s="82"/>
      <c r="Z328" s="82"/>
      <c r="AA328" s="82"/>
      <c r="AB328" s="145"/>
      <c r="AC328" s="145"/>
      <c r="AD328" s="145"/>
      <c r="AE328" s="145"/>
      <c r="AF328" s="145"/>
      <c r="AG328" s="145"/>
      <c r="AH328" s="145"/>
      <c r="AI328" s="145"/>
      <c r="AJ328" s="145"/>
      <c r="AK328" s="145"/>
      <c r="AL328" s="145"/>
      <c r="AM328" s="145"/>
      <c r="AN328" s="145"/>
      <c r="AO328" s="145"/>
      <c r="AP328" s="145"/>
      <c r="AQ328" s="145"/>
      <c r="AR328" s="145"/>
      <c r="AS328" s="145"/>
      <c r="AT328" s="145"/>
      <c r="AU328" s="145"/>
      <c r="AV328" s="146"/>
      <c r="AW328" s="146"/>
      <c r="AX328" s="146"/>
      <c r="AY328" s="146"/>
      <c r="AZ328" s="145"/>
      <c r="BA328" s="146"/>
      <c r="BB328" s="145"/>
      <c r="BC328" s="145"/>
      <c r="BD328" s="145"/>
      <c r="BE328" s="145"/>
      <c r="BF328" s="145"/>
      <c r="BG328" s="145"/>
      <c r="BH328" s="145"/>
      <c r="BI328" s="145"/>
      <c r="BJ328" s="145"/>
      <c r="BK328" s="145"/>
    </row>
    <row r="329" spans="1:63" s="147" customFormat="1" ht="15" x14ac:dyDescent="0.25">
      <c r="A329" s="59"/>
      <c r="B329" s="98"/>
      <c r="C329" s="102" t="s">
        <v>63</v>
      </c>
      <c r="D329" s="102"/>
      <c r="E329" s="102"/>
      <c r="F329" s="102"/>
      <c r="G329" s="102"/>
      <c r="H329" s="41"/>
      <c r="I329" s="42"/>
      <c r="J329" s="42"/>
      <c r="K329" s="42"/>
      <c r="L329" s="45"/>
      <c r="M329" s="42"/>
      <c r="N329" s="45"/>
      <c r="O329" s="42"/>
      <c r="P329" s="50">
        <v>2453.9727333333335</v>
      </c>
      <c r="Q329" s="82"/>
      <c r="R329" s="82"/>
      <c r="S329" s="82"/>
      <c r="T329" s="82"/>
      <c r="U329" s="167"/>
      <c r="V329" s="82"/>
      <c r="W329" s="175"/>
      <c r="X329" s="82"/>
      <c r="Y329" s="82"/>
      <c r="Z329" s="82"/>
      <c r="AA329" s="82"/>
      <c r="AB329" s="145"/>
      <c r="AC329" s="145"/>
      <c r="AD329" s="145"/>
      <c r="AE329" s="145"/>
      <c r="AF329" s="145"/>
      <c r="AG329" s="145"/>
      <c r="AH329" s="145"/>
      <c r="AI329" s="145"/>
      <c r="AJ329" s="145"/>
      <c r="AK329" s="145"/>
      <c r="AL329" s="145"/>
      <c r="AM329" s="145"/>
      <c r="AN329" s="145"/>
      <c r="AO329" s="145"/>
      <c r="AP329" s="145"/>
      <c r="AQ329" s="145"/>
      <c r="AR329" s="145"/>
      <c r="AS329" s="145"/>
      <c r="AT329" s="145"/>
      <c r="AU329" s="145"/>
      <c r="AV329" s="146"/>
      <c r="AW329" s="146"/>
      <c r="AX329" s="146"/>
      <c r="AY329" s="146"/>
      <c r="AZ329" s="145"/>
      <c r="BA329" s="146"/>
      <c r="BB329" s="145"/>
      <c r="BC329" s="145"/>
      <c r="BD329" s="145"/>
      <c r="BE329" s="145"/>
      <c r="BF329" s="145"/>
      <c r="BG329" s="145"/>
      <c r="BH329" s="145"/>
      <c r="BI329" s="145"/>
      <c r="BJ329" s="145"/>
      <c r="BK329" s="145"/>
    </row>
    <row r="330" spans="1:63" s="147" customFormat="1" ht="15" x14ac:dyDescent="0.25">
      <c r="A330" s="39" t="s">
        <v>595</v>
      </c>
      <c r="B330" s="97" t="s">
        <v>107</v>
      </c>
      <c r="C330" s="103" t="s">
        <v>108</v>
      </c>
      <c r="D330" s="103"/>
      <c r="E330" s="103"/>
      <c r="F330" s="103"/>
      <c r="G330" s="103"/>
      <c r="H330" s="41" t="s">
        <v>55</v>
      </c>
      <c r="I330" s="42">
        <v>0.3624</v>
      </c>
      <c r="J330" s="43">
        <v>1</v>
      </c>
      <c r="K330" s="44">
        <v>0.3624</v>
      </c>
      <c r="L330" s="45"/>
      <c r="M330" s="42"/>
      <c r="N330" s="45"/>
      <c r="O330" s="42"/>
      <c r="P330" s="50"/>
      <c r="Q330" s="82"/>
      <c r="R330" s="82"/>
      <c r="S330" s="82"/>
      <c r="T330" s="82"/>
      <c r="U330" s="153"/>
      <c r="V330" s="82"/>
      <c r="W330" s="151"/>
      <c r="X330" s="82"/>
      <c r="Y330" s="82"/>
      <c r="Z330" s="82"/>
      <c r="AA330" s="82"/>
      <c r="AB330" s="145"/>
      <c r="AC330" s="145"/>
      <c r="AD330" s="145"/>
      <c r="AE330" s="145"/>
      <c r="AF330" s="145"/>
      <c r="AG330" s="145"/>
      <c r="AH330" s="145"/>
      <c r="AI330" s="145"/>
      <c r="AJ330" s="145"/>
      <c r="AK330" s="145"/>
      <c r="AL330" s="145"/>
      <c r="AM330" s="145"/>
      <c r="AN330" s="145"/>
      <c r="AO330" s="145"/>
      <c r="AP330" s="145"/>
      <c r="AQ330" s="145"/>
      <c r="AR330" s="145"/>
      <c r="AS330" s="145"/>
      <c r="AT330" s="145"/>
      <c r="AU330" s="145"/>
      <c r="AV330" s="146"/>
      <c r="AW330" s="146"/>
      <c r="AX330" s="146"/>
      <c r="AY330" s="146"/>
      <c r="AZ330" s="145"/>
      <c r="BA330" s="146"/>
      <c r="BB330" s="145"/>
      <c r="BC330" s="145"/>
      <c r="BD330" s="145"/>
      <c r="BE330" s="145"/>
      <c r="BF330" s="145"/>
      <c r="BG330" s="145"/>
      <c r="BH330" s="145"/>
      <c r="BI330" s="145"/>
      <c r="BJ330" s="145"/>
      <c r="BK330" s="145"/>
    </row>
    <row r="331" spans="1:63" s="147" customFormat="1" ht="15" x14ac:dyDescent="0.25">
      <c r="A331" s="47"/>
      <c r="B331" s="48"/>
      <c r="C331" s="102" t="s">
        <v>56</v>
      </c>
      <c r="D331" s="102"/>
      <c r="E331" s="102"/>
      <c r="F331" s="102"/>
      <c r="G331" s="102"/>
      <c r="H331" s="41"/>
      <c r="I331" s="42"/>
      <c r="J331" s="42"/>
      <c r="K331" s="42"/>
      <c r="L331" s="45"/>
      <c r="M331" s="42"/>
      <c r="N331" s="49"/>
      <c r="O331" s="42"/>
      <c r="P331" s="50">
        <v>305.78499999999997</v>
      </c>
      <c r="Q331" s="157"/>
      <c r="R331" s="157"/>
      <c r="S331" s="82"/>
      <c r="T331" s="82"/>
      <c r="U331" s="156"/>
      <c r="V331" s="82"/>
      <c r="W331" s="166"/>
      <c r="X331" s="82"/>
      <c r="Y331" s="82"/>
      <c r="Z331" s="82"/>
      <c r="AA331" s="82"/>
      <c r="AB331" s="145"/>
      <c r="AC331" s="145"/>
      <c r="AD331" s="145"/>
      <c r="AE331" s="145"/>
      <c r="AF331" s="145"/>
      <c r="AG331" s="145"/>
      <c r="AH331" s="145"/>
      <c r="AI331" s="145"/>
      <c r="AJ331" s="145"/>
      <c r="AK331" s="145"/>
      <c r="AL331" s="145"/>
      <c r="AM331" s="145"/>
      <c r="AN331" s="145"/>
      <c r="AO331" s="145"/>
      <c r="AP331" s="145"/>
      <c r="AQ331" s="145"/>
      <c r="AR331" s="145"/>
      <c r="AS331" s="145"/>
      <c r="AT331" s="145"/>
      <c r="AU331" s="145"/>
      <c r="AV331" s="146"/>
      <c r="AW331" s="146"/>
      <c r="AX331" s="146"/>
      <c r="AY331" s="146"/>
      <c r="AZ331" s="145"/>
      <c r="BA331" s="146"/>
      <c r="BB331" s="145"/>
      <c r="BC331" s="145"/>
      <c r="BD331" s="145"/>
      <c r="BE331" s="145"/>
      <c r="BF331" s="145"/>
      <c r="BG331" s="145"/>
      <c r="BH331" s="145"/>
      <c r="BI331" s="145"/>
      <c r="BJ331" s="145"/>
      <c r="BK331" s="145"/>
    </row>
    <row r="332" spans="1:63" s="147" customFormat="1" ht="15" x14ac:dyDescent="0.25">
      <c r="A332" s="52"/>
      <c r="B332" s="53"/>
      <c r="C332" s="104" t="s">
        <v>57</v>
      </c>
      <c r="D332" s="104"/>
      <c r="E332" s="104"/>
      <c r="F332" s="104"/>
      <c r="G332" s="104"/>
      <c r="H332" s="54"/>
      <c r="I332" s="55"/>
      <c r="J332" s="55"/>
      <c r="K332" s="55"/>
      <c r="L332" s="56"/>
      <c r="M332" s="55"/>
      <c r="N332" s="56"/>
      <c r="O332" s="55"/>
      <c r="P332" s="77">
        <v>303.11699999999996</v>
      </c>
      <c r="Q332" s="82"/>
      <c r="R332" s="82"/>
      <c r="S332" s="82"/>
      <c r="T332" s="82"/>
      <c r="U332" s="170"/>
      <c r="V332" s="82"/>
      <c r="W332" s="151"/>
      <c r="X332" s="82"/>
      <c r="Y332" s="82"/>
      <c r="Z332" s="82"/>
      <c r="AA332" s="82"/>
      <c r="AB332" s="145"/>
      <c r="AC332" s="145"/>
      <c r="AD332" s="145"/>
      <c r="AE332" s="145"/>
      <c r="AF332" s="145"/>
      <c r="AG332" s="145"/>
      <c r="AH332" s="145"/>
      <c r="AI332" s="145"/>
      <c r="AJ332" s="145"/>
      <c r="AK332" s="145"/>
      <c r="AL332" s="145"/>
      <c r="AM332" s="145"/>
      <c r="AN332" s="145"/>
      <c r="AO332" s="145"/>
      <c r="AP332" s="145"/>
      <c r="AQ332" s="145"/>
      <c r="AR332" s="145"/>
      <c r="AS332" s="145"/>
      <c r="AT332" s="145"/>
      <c r="AU332" s="145"/>
      <c r="AV332" s="146"/>
      <c r="AW332" s="146"/>
      <c r="AX332" s="146"/>
      <c r="AY332" s="146"/>
      <c r="AZ332" s="145"/>
      <c r="BA332" s="146"/>
      <c r="BB332" s="145"/>
      <c r="BC332" s="145"/>
      <c r="BD332" s="145"/>
      <c r="BE332" s="145"/>
      <c r="BF332" s="145"/>
      <c r="BG332" s="145"/>
      <c r="BH332" s="145"/>
      <c r="BI332" s="145"/>
      <c r="BJ332" s="145"/>
      <c r="BK332" s="145"/>
    </row>
    <row r="333" spans="1:63" s="147" customFormat="1" ht="15" x14ac:dyDescent="0.25">
      <c r="A333" s="52"/>
      <c r="B333" s="53" t="s">
        <v>58</v>
      </c>
      <c r="C333" s="104" t="s">
        <v>59</v>
      </c>
      <c r="D333" s="104"/>
      <c r="E333" s="104"/>
      <c r="F333" s="104"/>
      <c r="G333" s="104"/>
      <c r="H333" s="54" t="s">
        <v>60</v>
      </c>
      <c r="I333" s="58">
        <v>100</v>
      </c>
      <c r="J333" s="55"/>
      <c r="K333" s="58">
        <v>100</v>
      </c>
      <c r="L333" s="56"/>
      <c r="M333" s="55"/>
      <c r="N333" s="56"/>
      <c r="O333" s="55"/>
      <c r="P333" s="77">
        <v>303.11699999999996</v>
      </c>
      <c r="Q333" s="82"/>
      <c r="R333" s="82"/>
      <c r="S333" s="82"/>
      <c r="T333" s="82"/>
      <c r="U333" s="170"/>
      <c r="V333" s="82"/>
      <c r="W333" s="160"/>
      <c r="X333" s="82"/>
      <c r="Y333" s="82"/>
      <c r="Z333" s="82"/>
      <c r="AA333" s="82"/>
      <c r="AB333" s="145"/>
      <c r="AC333" s="145"/>
      <c r="AD333" s="145"/>
      <c r="AE333" s="145"/>
      <c r="AF333" s="145"/>
      <c r="AG333" s="145"/>
      <c r="AH333" s="145"/>
      <c r="AI333" s="145"/>
      <c r="AJ333" s="145"/>
      <c r="AK333" s="145"/>
      <c r="AL333" s="145"/>
      <c r="AM333" s="145"/>
      <c r="AN333" s="145"/>
      <c r="AO333" s="145"/>
      <c r="AP333" s="145"/>
      <c r="AQ333" s="145"/>
      <c r="AR333" s="145"/>
      <c r="AS333" s="145"/>
      <c r="AT333" s="145"/>
      <c r="AU333" s="145"/>
      <c r="AV333" s="146"/>
      <c r="AW333" s="146"/>
      <c r="AX333" s="146"/>
      <c r="AY333" s="146"/>
      <c r="AZ333" s="145"/>
      <c r="BA333" s="146"/>
      <c r="BB333" s="145"/>
      <c r="BC333" s="145"/>
      <c r="BD333" s="145"/>
      <c r="BE333" s="145"/>
      <c r="BF333" s="145"/>
      <c r="BG333" s="145"/>
      <c r="BH333" s="145"/>
      <c r="BI333" s="145"/>
      <c r="BJ333" s="145"/>
      <c r="BK333" s="145"/>
    </row>
    <row r="334" spans="1:63" s="147" customFormat="1" ht="15" x14ac:dyDescent="0.25">
      <c r="A334" s="52"/>
      <c r="B334" s="53" t="s">
        <v>61</v>
      </c>
      <c r="C334" s="104" t="s">
        <v>62</v>
      </c>
      <c r="D334" s="104"/>
      <c r="E334" s="104"/>
      <c r="F334" s="104"/>
      <c r="G334" s="104"/>
      <c r="H334" s="54" t="s">
        <v>60</v>
      </c>
      <c r="I334" s="58">
        <v>49</v>
      </c>
      <c r="J334" s="55"/>
      <c r="K334" s="58">
        <v>49</v>
      </c>
      <c r="L334" s="56"/>
      <c r="M334" s="55"/>
      <c r="N334" s="56"/>
      <c r="O334" s="55"/>
      <c r="P334" s="77">
        <v>148.52250000000001</v>
      </c>
      <c r="Q334" s="82"/>
      <c r="R334" s="82"/>
      <c r="S334" s="82"/>
      <c r="T334" s="82"/>
      <c r="U334" s="170"/>
      <c r="V334" s="82"/>
      <c r="W334" s="164"/>
      <c r="X334" s="82"/>
      <c r="Y334" s="82"/>
      <c r="Z334" s="82"/>
      <c r="AA334" s="82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6"/>
      <c r="AW334" s="146"/>
      <c r="AX334" s="146"/>
      <c r="AY334" s="146"/>
      <c r="AZ334" s="145"/>
      <c r="BA334" s="146"/>
      <c r="BB334" s="145"/>
      <c r="BC334" s="145"/>
      <c r="BD334" s="145"/>
      <c r="BE334" s="145"/>
      <c r="BF334" s="145"/>
      <c r="BG334" s="145"/>
      <c r="BH334" s="145"/>
      <c r="BI334" s="145"/>
      <c r="BJ334" s="145"/>
      <c r="BK334" s="145"/>
    </row>
    <row r="335" spans="1:63" s="147" customFormat="1" ht="15" x14ac:dyDescent="0.25">
      <c r="A335" s="59"/>
      <c r="B335" s="98"/>
      <c r="C335" s="102" t="s">
        <v>63</v>
      </c>
      <c r="D335" s="102"/>
      <c r="E335" s="102"/>
      <c r="F335" s="102"/>
      <c r="G335" s="102"/>
      <c r="H335" s="41"/>
      <c r="I335" s="42"/>
      <c r="J335" s="42"/>
      <c r="K335" s="42"/>
      <c r="L335" s="45"/>
      <c r="M335" s="42"/>
      <c r="N335" s="49">
        <v>4828.67</v>
      </c>
      <c r="O335" s="42"/>
      <c r="P335" s="50">
        <v>2012.3947126099706</v>
      </c>
      <c r="Q335" s="82"/>
      <c r="R335" s="82"/>
      <c r="S335" s="82"/>
      <c r="T335" s="82"/>
      <c r="U335" s="167"/>
      <c r="V335" s="82"/>
      <c r="W335" s="164"/>
      <c r="X335" s="82"/>
      <c r="Y335" s="82"/>
      <c r="Z335" s="82"/>
      <c r="AA335" s="82"/>
      <c r="AB335" s="145"/>
      <c r="AC335" s="145"/>
      <c r="AD335" s="145"/>
      <c r="AE335" s="145"/>
      <c r="AF335" s="145"/>
      <c r="AG335" s="145"/>
      <c r="AH335" s="145"/>
      <c r="AI335" s="145"/>
      <c r="AJ335" s="145"/>
      <c r="AK335" s="145"/>
      <c r="AL335" s="145"/>
      <c r="AM335" s="145"/>
      <c r="AN335" s="145"/>
      <c r="AO335" s="145"/>
      <c r="AP335" s="145"/>
      <c r="AQ335" s="145"/>
      <c r="AR335" s="145"/>
      <c r="AS335" s="145"/>
      <c r="AT335" s="145"/>
      <c r="AU335" s="145"/>
      <c r="AV335" s="146"/>
      <c r="AW335" s="146"/>
      <c r="AX335" s="146"/>
      <c r="AY335" s="146"/>
      <c r="AZ335" s="145"/>
      <c r="BA335" s="146"/>
      <c r="BB335" s="145"/>
      <c r="BC335" s="145"/>
      <c r="BD335" s="145"/>
      <c r="BE335" s="145"/>
      <c r="BF335" s="145"/>
      <c r="BG335" s="145"/>
      <c r="BH335" s="145"/>
      <c r="BI335" s="145"/>
      <c r="BJ335" s="145"/>
      <c r="BK335" s="145"/>
    </row>
    <row r="336" spans="1:63" s="147" customFormat="1" ht="15" x14ac:dyDescent="0.25">
      <c r="A336" s="39" t="s">
        <v>596</v>
      </c>
      <c r="B336" s="97" t="s">
        <v>110</v>
      </c>
      <c r="C336" s="103" t="s">
        <v>111</v>
      </c>
      <c r="D336" s="103"/>
      <c r="E336" s="103"/>
      <c r="F336" s="103"/>
      <c r="G336" s="103"/>
      <c r="H336" s="41" t="s">
        <v>67</v>
      </c>
      <c r="I336" s="42">
        <v>6.4</v>
      </c>
      <c r="J336" s="43">
        <v>1</v>
      </c>
      <c r="K336" s="44">
        <v>6.4</v>
      </c>
      <c r="L336" s="61">
        <v>65.84</v>
      </c>
      <c r="M336" s="67">
        <v>1.2</v>
      </c>
      <c r="N336" s="61">
        <v>79.010000000000005</v>
      </c>
      <c r="O336" s="42"/>
      <c r="P336" s="50">
        <v>581.50758061071951</v>
      </c>
      <c r="Q336" s="82"/>
      <c r="R336" s="82"/>
      <c r="S336" s="82"/>
      <c r="T336" s="82"/>
      <c r="U336" s="167"/>
      <c r="V336" s="82"/>
      <c r="W336" s="151"/>
      <c r="X336" s="82"/>
      <c r="Y336" s="82"/>
      <c r="Z336" s="82"/>
      <c r="AA336" s="82"/>
      <c r="AB336" s="145"/>
      <c r="AC336" s="145"/>
      <c r="AD336" s="145"/>
      <c r="AE336" s="145"/>
      <c r="AF336" s="145"/>
      <c r="AG336" s="145"/>
      <c r="AH336" s="145"/>
      <c r="AI336" s="145"/>
      <c r="AJ336" s="145"/>
      <c r="AK336" s="145"/>
      <c r="AL336" s="145"/>
      <c r="AM336" s="145"/>
      <c r="AN336" s="145"/>
      <c r="AO336" s="145"/>
      <c r="AP336" s="145"/>
      <c r="AQ336" s="145"/>
      <c r="AR336" s="145"/>
      <c r="AS336" s="145"/>
      <c r="AT336" s="145"/>
      <c r="AU336" s="145"/>
      <c r="AV336" s="146"/>
      <c r="AW336" s="146"/>
      <c r="AX336" s="146"/>
      <c r="AY336" s="146"/>
      <c r="AZ336" s="145"/>
      <c r="BA336" s="146"/>
      <c r="BB336" s="145"/>
      <c r="BC336" s="145"/>
      <c r="BD336" s="145"/>
      <c r="BE336" s="145"/>
      <c r="BF336" s="145"/>
      <c r="BG336" s="145"/>
      <c r="BH336" s="145"/>
      <c r="BI336" s="145"/>
      <c r="BJ336" s="145"/>
      <c r="BK336" s="145"/>
    </row>
    <row r="337" spans="1:63" s="147" customFormat="1" ht="15" x14ac:dyDescent="0.25">
      <c r="A337" s="59"/>
      <c r="B337" s="98"/>
      <c r="C337" s="102" t="s">
        <v>63</v>
      </c>
      <c r="D337" s="102"/>
      <c r="E337" s="102"/>
      <c r="F337" s="102"/>
      <c r="G337" s="102"/>
      <c r="H337" s="41"/>
      <c r="I337" s="42"/>
      <c r="J337" s="42"/>
      <c r="K337" s="42"/>
      <c r="L337" s="45"/>
      <c r="M337" s="42"/>
      <c r="N337" s="45"/>
      <c r="O337" s="42"/>
      <c r="P337" s="50">
        <v>581.50758061071951</v>
      </c>
      <c r="Q337" s="82"/>
      <c r="R337" s="82"/>
      <c r="S337" s="82"/>
      <c r="T337" s="82"/>
      <c r="U337" s="167"/>
      <c r="V337" s="82"/>
      <c r="W337" s="166"/>
      <c r="X337" s="82"/>
      <c r="Y337" s="82"/>
      <c r="Z337" s="82"/>
      <c r="AA337" s="82"/>
      <c r="AB337" s="145"/>
      <c r="AC337" s="145"/>
      <c r="AD337" s="145"/>
      <c r="AE337" s="145"/>
      <c r="AF337" s="145"/>
      <c r="AG337" s="145"/>
      <c r="AH337" s="145"/>
      <c r="AI337" s="145"/>
      <c r="AJ337" s="145"/>
      <c r="AK337" s="145"/>
      <c r="AL337" s="145"/>
      <c r="AM337" s="145"/>
      <c r="AN337" s="145"/>
      <c r="AO337" s="145"/>
      <c r="AP337" s="145"/>
      <c r="AQ337" s="145"/>
      <c r="AR337" s="145"/>
      <c r="AS337" s="145"/>
      <c r="AT337" s="145"/>
      <c r="AU337" s="145"/>
      <c r="AV337" s="146"/>
      <c r="AW337" s="146"/>
      <c r="AX337" s="146"/>
      <c r="AY337" s="146"/>
      <c r="AZ337" s="145"/>
      <c r="BA337" s="146"/>
      <c r="BB337" s="145"/>
      <c r="BC337" s="145"/>
      <c r="BD337" s="145"/>
      <c r="BE337" s="145"/>
      <c r="BF337" s="145"/>
      <c r="BG337" s="145"/>
      <c r="BH337" s="145"/>
      <c r="BI337" s="145"/>
      <c r="BJ337" s="145"/>
      <c r="BK337" s="145"/>
    </row>
    <row r="338" spans="1:63" s="147" customFormat="1" ht="15" x14ac:dyDescent="0.25">
      <c r="A338" s="39" t="s">
        <v>597</v>
      </c>
      <c r="B338" s="97" t="s">
        <v>113</v>
      </c>
      <c r="C338" s="103" t="s">
        <v>114</v>
      </c>
      <c r="D338" s="103"/>
      <c r="E338" s="103"/>
      <c r="F338" s="103"/>
      <c r="G338" s="103"/>
      <c r="H338" s="41" t="s">
        <v>55</v>
      </c>
      <c r="I338" s="42">
        <v>0.3624</v>
      </c>
      <c r="J338" s="43">
        <v>1</v>
      </c>
      <c r="K338" s="44">
        <v>0.3624</v>
      </c>
      <c r="L338" s="45"/>
      <c r="M338" s="42"/>
      <c r="N338" s="45"/>
      <c r="O338" s="42"/>
      <c r="P338" s="50"/>
      <c r="Q338" s="82"/>
      <c r="R338" s="82"/>
      <c r="S338" s="82"/>
      <c r="T338" s="82"/>
      <c r="U338" s="153"/>
      <c r="V338" s="82"/>
      <c r="W338" s="151"/>
      <c r="X338" s="82"/>
      <c r="Y338" s="82"/>
      <c r="Z338" s="82"/>
      <c r="AA338" s="82"/>
      <c r="AB338" s="145"/>
      <c r="AC338" s="145"/>
      <c r="AD338" s="145"/>
      <c r="AE338" s="145"/>
      <c r="AF338" s="145"/>
      <c r="AG338" s="145"/>
      <c r="AH338" s="145"/>
      <c r="AI338" s="145"/>
      <c r="AJ338" s="145"/>
      <c r="AK338" s="145"/>
      <c r="AL338" s="145"/>
      <c r="AM338" s="145"/>
      <c r="AN338" s="145"/>
      <c r="AO338" s="145"/>
      <c r="AP338" s="145"/>
      <c r="AQ338" s="145"/>
      <c r="AR338" s="145"/>
      <c r="AS338" s="145"/>
      <c r="AT338" s="145"/>
      <c r="AU338" s="145"/>
      <c r="AV338" s="146"/>
      <c r="AW338" s="146"/>
      <c r="AX338" s="146"/>
      <c r="AY338" s="146"/>
      <c r="AZ338" s="145"/>
      <c r="BA338" s="146"/>
      <c r="BB338" s="145"/>
      <c r="BC338" s="145"/>
      <c r="BD338" s="145"/>
      <c r="BE338" s="145"/>
      <c r="BF338" s="145"/>
      <c r="BG338" s="145"/>
      <c r="BH338" s="145"/>
      <c r="BI338" s="145"/>
      <c r="BJ338" s="145"/>
      <c r="BK338" s="145"/>
    </row>
    <row r="339" spans="1:63" s="147" customFormat="1" ht="15" x14ac:dyDescent="0.25">
      <c r="A339" s="47"/>
      <c r="B339" s="48"/>
      <c r="C339" s="102" t="s">
        <v>56</v>
      </c>
      <c r="D339" s="102"/>
      <c r="E339" s="102"/>
      <c r="F339" s="102"/>
      <c r="G339" s="102"/>
      <c r="H339" s="41"/>
      <c r="I339" s="42"/>
      <c r="J339" s="42"/>
      <c r="K339" s="42"/>
      <c r="L339" s="45"/>
      <c r="M339" s="42"/>
      <c r="N339" s="49"/>
      <c r="O339" s="42"/>
      <c r="P339" s="50">
        <v>1936.8874999999998</v>
      </c>
      <c r="Q339" s="157"/>
      <c r="R339" s="157"/>
      <c r="S339" s="82"/>
      <c r="T339" s="82"/>
      <c r="U339" s="156"/>
      <c r="V339" s="82"/>
      <c r="W339" s="166"/>
      <c r="X339" s="82"/>
      <c r="Y339" s="82"/>
      <c r="Z339" s="82"/>
      <c r="AA339" s="82"/>
      <c r="AB339" s="145"/>
      <c r="AC339" s="145"/>
      <c r="AD339" s="145"/>
      <c r="AE339" s="145"/>
      <c r="AF339" s="145"/>
      <c r="AG339" s="145"/>
      <c r="AH339" s="145"/>
      <c r="AI339" s="145"/>
      <c r="AJ339" s="145"/>
      <c r="AK339" s="145"/>
      <c r="AL339" s="145"/>
      <c r="AM339" s="145"/>
      <c r="AN339" s="145"/>
      <c r="AO339" s="145"/>
      <c r="AP339" s="145"/>
      <c r="AQ339" s="145"/>
      <c r="AR339" s="145"/>
      <c r="AS339" s="145"/>
      <c r="AT339" s="145"/>
      <c r="AU339" s="145"/>
      <c r="AV339" s="146"/>
      <c r="AW339" s="146"/>
      <c r="AX339" s="146"/>
      <c r="AY339" s="146"/>
      <c r="AZ339" s="145"/>
      <c r="BA339" s="146"/>
      <c r="BB339" s="145"/>
      <c r="BC339" s="145"/>
      <c r="BD339" s="145"/>
      <c r="BE339" s="145"/>
      <c r="BF339" s="145"/>
      <c r="BG339" s="145"/>
      <c r="BH339" s="145"/>
      <c r="BI339" s="145"/>
      <c r="BJ339" s="145"/>
      <c r="BK339" s="145"/>
    </row>
    <row r="340" spans="1:63" s="147" customFormat="1" ht="15" x14ac:dyDescent="0.25">
      <c r="A340" s="52"/>
      <c r="B340" s="53"/>
      <c r="C340" s="104" t="s">
        <v>57</v>
      </c>
      <c r="D340" s="104"/>
      <c r="E340" s="104"/>
      <c r="F340" s="104"/>
      <c r="G340" s="104"/>
      <c r="H340" s="54"/>
      <c r="I340" s="55"/>
      <c r="J340" s="55"/>
      <c r="K340" s="55"/>
      <c r="L340" s="56"/>
      <c r="M340" s="55"/>
      <c r="N340" s="56"/>
      <c r="O340" s="55"/>
      <c r="P340" s="77">
        <v>1927.2504999999996</v>
      </c>
      <c r="Q340" s="82"/>
      <c r="R340" s="82"/>
      <c r="S340" s="82"/>
      <c r="T340" s="82"/>
      <c r="U340" s="163"/>
      <c r="V340" s="82"/>
      <c r="W340" s="151"/>
      <c r="X340" s="82"/>
      <c r="Y340" s="82"/>
      <c r="Z340" s="82"/>
      <c r="AA340" s="82"/>
      <c r="AB340" s="145"/>
      <c r="AC340" s="145"/>
      <c r="AD340" s="145"/>
      <c r="AE340" s="145"/>
      <c r="AF340" s="145"/>
      <c r="AG340" s="145"/>
      <c r="AH340" s="145"/>
      <c r="AI340" s="145"/>
      <c r="AJ340" s="145"/>
      <c r="AK340" s="145"/>
      <c r="AL340" s="145"/>
      <c r="AM340" s="145"/>
      <c r="AN340" s="145"/>
      <c r="AO340" s="145"/>
      <c r="AP340" s="145"/>
      <c r="AQ340" s="145"/>
      <c r="AR340" s="145"/>
      <c r="AS340" s="145"/>
      <c r="AT340" s="145"/>
      <c r="AU340" s="145"/>
      <c r="AV340" s="146"/>
      <c r="AW340" s="146"/>
      <c r="AX340" s="146"/>
      <c r="AY340" s="146"/>
      <c r="AZ340" s="145"/>
      <c r="BA340" s="146"/>
      <c r="BB340" s="145"/>
      <c r="BC340" s="145"/>
      <c r="BD340" s="145"/>
      <c r="BE340" s="145"/>
      <c r="BF340" s="145"/>
      <c r="BG340" s="145"/>
      <c r="BH340" s="145"/>
      <c r="BI340" s="145"/>
      <c r="BJ340" s="145"/>
      <c r="BK340" s="145"/>
    </row>
    <row r="341" spans="1:63" s="147" customFormat="1" ht="15" x14ac:dyDescent="0.25">
      <c r="A341" s="52"/>
      <c r="B341" s="53" t="s">
        <v>58</v>
      </c>
      <c r="C341" s="104" t="s">
        <v>59</v>
      </c>
      <c r="D341" s="104"/>
      <c r="E341" s="104"/>
      <c r="F341" s="104"/>
      <c r="G341" s="104"/>
      <c r="H341" s="54" t="s">
        <v>60</v>
      </c>
      <c r="I341" s="58">
        <v>100</v>
      </c>
      <c r="J341" s="55"/>
      <c r="K341" s="58">
        <v>100</v>
      </c>
      <c r="L341" s="56"/>
      <c r="M341" s="55"/>
      <c r="N341" s="56"/>
      <c r="O341" s="55"/>
      <c r="P341" s="77">
        <v>1927.2504999999996</v>
      </c>
      <c r="Q341" s="82"/>
      <c r="R341" s="82"/>
      <c r="S341" s="82"/>
      <c r="T341" s="82"/>
      <c r="U341" s="163"/>
      <c r="V341" s="82"/>
      <c r="W341" s="160"/>
      <c r="X341" s="82"/>
      <c r="Y341" s="82"/>
      <c r="Z341" s="82"/>
      <c r="AA341" s="82"/>
      <c r="AB341" s="145"/>
      <c r="AC341" s="145"/>
      <c r="AD341" s="145"/>
      <c r="AE341" s="145"/>
      <c r="AF341" s="145"/>
      <c r="AG341" s="145"/>
      <c r="AH341" s="145"/>
      <c r="AI341" s="145"/>
      <c r="AJ341" s="145"/>
      <c r="AK341" s="145"/>
      <c r="AL341" s="145"/>
      <c r="AM341" s="145"/>
      <c r="AN341" s="145"/>
      <c r="AO341" s="145"/>
      <c r="AP341" s="145"/>
      <c r="AQ341" s="145"/>
      <c r="AR341" s="145"/>
      <c r="AS341" s="145"/>
      <c r="AT341" s="145"/>
      <c r="AU341" s="145"/>
      <c r="AV341" s="146"/>
      <c r="AW341" s="146"/>
      <c r="AX341" s="146"/>
      <c r="AY341" s="146"/>
      <c r="AZ341" s="145"/>
      <c r="BA341" s="146"/>
      <c r="BB341" s="145"/>
      <c r="BC341" s="145"/>
      <c r="BD341" s="145"/>
      <c r="BE341" s="145"/>
      <c r="BF341" s="145"/>
      <c r="BG341" s="145"/>
      <c r="BH341" s="145"/>
      <c r="BI341" s="145"/>
      <c r="BJ341" s="145"/>
      <c r="BK341" s="145"/>
    </row>
    <row r="342" spans="1:63" s="147" customFormat="1" ht="15" x14ac:dyDescent="0.25">
      <c r="A342" s="52"/>
      <c r="B342" s="53" t="s">
        <v>61</v>
      </c>
      <c r="C342" s="104" t="s">
        <v>62</v>
      </c>
      <c r="D342" s="104"/>
      <c r="E342" s="104"/>
      <c r="F342" s="104"/>
      <c r="G342" s="104"/>
      <c r="H342" s="54" t="s">
        <v>60</v>
      </c>
      <c r="I342" s="58">
        <v>49</v>
      </c>
      <c r="J342" s="55"/>
      <c r="K342" s="58">
        <v>49</v>
      </c>
      <c r="L342" s="56"/>
      <c r="M342" s="55"/>
      <c r="N342" s="56"/>
      <c r="O342" s="55"/>
      <c r="P342" s="77">
        <v>944.35699999999986</v>
      </c>
      <c r="Q342" s="82"/>
      <c r="R342" s="82"/>
      <c r="S342" s="82"/>
      <c r="T342" s="82"/>
      <c r="U342" s="170"/>
      <c r="V342" s="82"/>
      <c r="W342" s="164"/>
      <c r="X342" s="82"/>
      <c r="Y342" s="82"/>
      <c r="Z342" s="82"/>
      <c r="AA342" s="82"/>
      <c r="AB342" s="145"/>
      <c r="AC342" s="145"/>
      <c r="AD342" s="145"/>
      <c r="AE342" s="145"/>
      <c r="AF342" s="145"/>
      <c r="AG342" s="145"/>
      <c r="AH342" s="145"/>
      <c r="AI342" s="145"/>
      <c r="AJ342" s="145"/>
      <c r="AK342" s="145"/>
      <c r="AL342" s="145"/>
      <c r="AM342" s="145"/>
      <c r="AN342" s="145"/>
      <c r="AO342" s="145"/>
      <c r="AP342" s="145"/>
      <c r="AQ342" s="145"/>
      <c r="AR342" s="145"/>
      <c r="AS342" s="145"/>
      <c r="AT342" s="145"/>
      <c r="AU342" s="145"/>
      <c r="AV342" s="146"/>
      <c r="AW342" s="146"/>
      <c r="AX342" s="146"/>
      <c r="AY342" s="146"/>
      <c r="AZ342" s="145"/>
      <c r="BA342" s="146"/>
      <c r="BB342" s="145"/>
      <c r="BC342" s="145"/>
      <c r="BD342" s="145"/>
      <c r="BE342" s="145"/>
      <c r="BF342" s="145"/>
      <c r="BG342" s="145"/>
      <c r="BH342" s="145"/>
      <c r="BI342" s="145"/>
      <c r="BJ342" s="145"/>
      <c r="BK342" s="145"/>
    </row>
    <row r="343" spans="1:63" s="147" customFormat="1" ht="15" x14ac:dyDescent="0.25">
      <c r="A343" s="59"/>
      <c r="B343" s="98"/>
      <c r="C343" s="102" t="s">
        <v>63</v>
      </c>
      <c r="D343" s="102"/>
      <c r="E343" s="102"/>
      <c r="F343" s="102"/>
      <c r="G343" s="102"/>
      <c r="H343" s="41"/>
      <c r="I343" s="42"/>
      <c r="J343" s="42"/>
      <c r="K343" s="42"/>
      <c r="L343" s="45"/>
      <c r="M343" s="42"/>
      <c r="N343" s="49">
        <v>30654.69</v>
      </c>
      <c r="O343" s="42"/>
      <c r="P343" s="50">
        <v>15831.074692082113</v>
      </c>
      <c r="Q343" s="82"/>
      <c r="R343" s="82"/>
      <c r="S343" s="82"/>
      <c r="T343" s="82"/>
      <c r="U343" s="156"/>
      <c r="V343" s="82"/>
      <c r="W343" s="164"/>
      <c r="X343" s="82"/>
      <c r="Y343" s="82"/>
      <c r="Z343" s="82"/>
      <c r="AA343" s="82"/>
      <c r="AB343" s="145"/>
      <c r="AC343" s="145"/>
      <c r="AD343" s="145"/>
      <c r="AE343" s="145"/>
      <c r="AF343" s="145"/>
      <c r="AG343" s="145"/>
      <c r="AH343" s="145"/>
      <c r="AI343" s="145"/>
      <c r="AJ343" s="145"/>
      <c r="AK343" s="145"/>
      <c r="AL343" s="145"/>
      <c r="AM343" s="145"/>
      <c r="AN343" s="145"/>
      <c r="AO343" s="145"/>
      <c r="AP343" s="145"/>
      <c r="AQ343" s="145"/>
      <c r="AR343" s="145"/>
      <c r="AS343" s="145"/>
      <c r="AT343" s="145"/>
      <c r="AU343" s="145"/>
      <c r="AV343" s="146"/>
      <c r="AW343" s="146"/>
      <c r="AX343" s="146"/>
      <c r="AY343" s="146"/>
      <c r="AZ343" s="145"/>
      <c r="BA343" s="146"/>
      <c r="BB343" s="145"/>
      <c r="BC343" s="145"/>
      <c r="BD343" s="145"/>
      <c r="BE343" s="145"/>
      <c r="BF343" s="145"/>
      <c r="BG343" s="145"/>
      <c r="BH343" s="145"/>
      <c r="BI343" s="145"/>
      <c r="BJ343" s="145"/>
      <c r="BK343" s="145"/>
    </row>
    <row r="344" spans="1:63" s="147" customFormat="1" ht="15" x14ac:dyDescent="0.25">
      <c r="A344" s="39" t="s">
        <v>598</v>
      </c>
      <c r="B344" s="97" t="s">
        <v>116</v>
      </c>
      <c r="C344" s="103" t="s">
        <v>117</v>
      </c>
      <c r="D344" s="103"/>
      <c r="E344" s="103"/>
      <c r="F344" s="103"/>
      <c r="G344" s="103"/>
      <c r="H344" s="41" t="s">
        <v>67</v>
      </c>
      <c r="I344" s="42">
        <f>115.94*4</f>
        <v>463.76</v>
      </c>
      <c r="J344" s="43">
        <v>1</v>
      </c>
      <c r="K344" s="62">
        <v>463.76</v>
      </c>
      <c r="L344" s="61">
        <v>17.34</v>
      </c>
      <c r="M344" s="62">
        <v>1.42</v>
      </c>
      <c r="N344" s="61">
        <v>24.62</v>
      </c>
      <c r="O344" s="42"/>
      <c r="P344" s="50">
        <v>13130.423999999999</v>
      </c>
      <c r="Q344" s="82"/>
      <c r="R344" s="82"/>
      <c r="S344" s="82"/>
      <c r="T344" s="82"/>
      <c r="U344" s="156"/>
      <c r="V344" s="82"/>
      <c r="W344" s="151"/>
      <c r="X344" s="82"/>
      <c r="Y344" s="82"/>
      <c r="Z344" s="82"/>
      <c r="AA344" s="82"/>
      <c r="AB344" s="145"/>
      <c r="AC344" s="145"/>
      <c r="AD344" s="145"/>
      <c r="AE344" s="145"/>
      <c r="AF344" s="145"/>
      <c r="AG344" s="145"/>
      <c r="AH344" s="145"/>
      <c r="AI344" s="145"/>
      <c r="AJ344" s="145"/>
      <c r="AK344" s="145"/>
      <c r="AL344" s="145"/>
      <c r="AM344" s="145"/>
      <c r="AN344" s="145"/>
      <c r="AO344" s="145"/>
      <c r="AP344" s="145"/>
      <c r="AQ344" s="145"/>
      <c r="AR344" s="145"/>
      <c r="AS344" s="145"/>
      <c r="AT344" s="145"/>
      <c r="AU344" s="145"/>
      <c r="AV344" s="146"/>
      <c r="AW344" s="146"/>
      <c r="AX344" s="146"/>
      <c r="AY344" s="146"/>
      <c r="AZ344" s="145"/>
      <c r="BA344" s="146"/>
      <c r="BB344" s="145"/>
      <c r="BC344" s="145"/>
      <c r="BD344" s="145"/>
      <c r="BE344" s="145"/>
      <c r="BF344" s="145"/>
      <c r="BG344" s="145"/>
      <c r="BH344" s="145"/>
      <c r="BI344" s="145"/>
      <c r="BJ344" s="145"/>
      <c r="BK344" s="145"/>
    </row>
    <row r="345" spans="1:63" s="147" customFormat="1" ht="15" x14ac:dyDescent="0.25">
      <c r="A345" s="59"/>
      <c r="B345" s="98"/>
      <c r="C345" s="102" t="s">
        <v>63</v>
      </c>
      <c r="D345" s="102"/>
      <c r="E345" s="102"/>
      <c r="F345" s="102"/>
      <c r="G345" s="102"/>
      <c r="H345" s="41"/>
      <c r="I345" s="42"/>
      <c r="J345" s="42"/>
      <c r="K345" s="42"/>
      <c r="L345" s="45"/>
      <c r="M345" s="42"/>
      <c r="N345" s="45"/>
      <c r="O345" s="42"/>
      <c r="P345" s="50">
        <v>13130.423999999999</v>
      </c>
      <c r="Q345" s="82"/>
      <c r="R345" s="82"/>
      <c r="S345" s="82"/>
      <c r="T345" s="82"/>
      <c r="U345" s="156"/>
      <c r="V345" s="82"/>
      <c r="W345" s="168"/>
      <c r="X345" s="82"/>
      <c r="Y345" s="82"/>
      <c r="Z345" s="82"/>
      <c r="AA345" s="82"/>
      <c r="AB345" s="145"/>
      <c r="AC345" s="145"/>
      <c r="AD345" s="145"/>
      <c r="AE345" s="145"/>
      <c r="AF345" s="145"/>
      <c r="AG345" s="145"/>
      <c r="AH345" s="145"/>
      <c r="AI345" s="145"/>
      <c r="AJ345" s="145"/>
      <c r="AK345" s="145"/>
      <c r="AL345" s="145"/>
      <c r="AM345" s="145"/>
      <c r="AN345" s="145"/>
      <c r="AO345" s="145"/>
      <c r="AP345" s="145"/>
      <c r="AQ345" s="145"/>
      <c r="AR345" s="145"/>
      <c r="AS345" s="145"/>
      <c r="AT345" s="145"/>
      <c r="AU345" s="145"/>
      <c r="AV345" s="146"/>
      <c r="AW345" s="146"/>
      <c r="AX345" s="146"/>
      <c r="AY345" s="146"/>
      <c r="AZ345" s="145"/>
      <c r="BA345" s="146"/>
      <c r="BB345" s="145"/>
      <c r="BC345" s="145"/>
      <c r="BD345" s="145"/>
      <c r="BE345" s="145"/>
      <c r="BF345" s="145"/>
      <c r="BG345" s="145"/>
      <c r="BH345" s="145"/>
      <c r="BI345" s="145"/>
      <c r="BJ345" s="145"/>
      <c r="BK345" s="145"/>
    </row>
    <row r="346" spans="1:63" s="147" customFormat="1" ht="15" x14ac:dyDescent="0.25">
      <c r="A346" s="39" t="s">
        <v>599</v>
      </c>
      <c r="B346" s="97" t="s">
        <v>119</v>
      </c>
      <c r="C346" s="103" t="s">
        <v>120</v>
      </c>
      <c r="D346" s="103"/>
      <c r="E346" s="103"/>
      <c r="F346" s="103"/>
      <c r="G346" s="103"/>
      <c r="H346" s="41" t="s">
        <v>105</v>
      </c>
      <c r="I346" s="42">
        <f>1*4.3*2+3</f>
        <v>11.6</v>
      </c>
      <c r="J346" s="43">
        <v>1</v>
      </c>
      <c r="K346" s="44">
        <v>11.6</v>
      </c>
      <c r="L346" s="61">
        <v>50.99</v>
      </c>
      <c r="M346" s="62">
        <v>1.1599999999999999</v>
      </c>
      <c r="N346" s="61">
        <v>59.15</v>
      </c>
      <c r="O346" s="42"/>
      <c r="P346" s="50">
        <v>789.05896728192738</v>
      </c>
      <c r="Q346" s="82"/>
      <c r="R346" s="82"/>
      <c r="S346" s="82"/>
      <c r="T346" s="82"/>
      <c r="U346" s="167"/>
      <c r="V346" s="82"/>
      <c r="W346" s="151"/>
      <c r="X346" s="82"/>
      <c r="Y346" s="82"/>
      <c r="Z346" s="82"/>
      <c r="AA346" s="82"/>
      <c r="AB346" s="145"/>
      <c r="AC346" s="145"/>
      <c r="AD346" s="145"/>
      <c r="AE346" s="145"/>
      <c r="AF346" s="145"/>
      <c r="AG346" s="145"/>
      <c r="AH346" s="145"/>
      <c r="AI346" s="145"/>
      <c r="AJ346" s="145"/>
      <c r="AK346" s="145"/>
      <c r="AL346" s="145"/>
      <c r="AM346" s="145"/>
      <c r="AN346" s="145"/>
      <c r="AO346" s="145"/>
      <c r="AP346" s="145"/>
      <c r="AQ346" s="145"/>
      <c r="AR346" s="145"/>
      <c r="AS346" s="145"/>
      <c r="AT346" s="145"/>
      <c r="AU346" s="145"/>
      <c r="AV346" s="146"/>
      <c r="AW346" s="146"/>
      <c r="AX346" s="146"/>
      <c r="AY346" s="146"/>
      <c r="AZ346" s="145"/>
      <c r="BA346" s="146"/>
      <c r="BB346" s="145"/>
      <c r="BC346" s="145"/>
      <c r="BD346" s="145"/>
      <c r="BE346" s="145"/>
      <c r="BF346" s="145"/>
      <c r="BG346" s="145"/>
      <c r="BH346" s="145"/>
      <c r="BI346" s="145"/>
      <c r="BJ346" s="145"/>
      <c r="BK346" s="145"/>
    </row>
    <row r="347" spans="1:63" s="147" customFormat="1" ht="15" x14ac:dyDescent="0.25">
      <c r="A347" s="59"/>
      <c r="B347" s="98"/>
      <c r="C347" s="102" t="s">
        <v>63</v>
      </c>
      <c r="D347" s="102"/>
      <c r="E347" s="102"/>
      <c r="F347" s="102"/>
      <c r="G347" s="102"/>
      <c r="H347" s="41"/>
      <c r="I347" s="42"/>
      <c r="J347" s="42"/>
      <c r="K347" s="42"/>
      <c r="L347" s="45"/>
      <c r="M347" s="42"/>
      <c r="N347" s="45"/>
      <c r="O347" s="42"/>
      <c r="P347" s="50">
        <v>789.05896728192738</v>
      </c>
      <c r="Q347" s="82"/>
      <c r="R347" s="82"/>
      <c r="S347" s="82"/>
      <c r="T347" s="82"/>
      <c r="U347" s="167"/>
      <c r="V347" s="82"/>
      <c r="W347" s="166"/>
      <c r="X347" s="82"/>
      <c r="Y347" s="82"/>
      <c r="Z347" s="82"/>
      <c r="AA347" s="82"/>
      <c r="AB347" s="145"/>
      <c r="AC347" s="145"/>
      <c r="AD347" s="145"/>
      <c r="AE347" s="145"/>
      <c r="AF347" s="145"/>
      <c r="AG347" s="145"/>
      <c r="AH347" s="145"/>
      <c r="AI347" s="145"/>
      <c r="AJ347" s="145"/>
      <c r="AK347" s="145"/>
      <c r="AL347" s="145"/>
      <c r="AM347" s="145"/>
      <c r="AN347" s="145"/>
      <c r="AO347" s="145"/>
      <c r="AP347" s="145"/>
      <c r="AQ347" s="145"/>
      <c r="AR347" s="145"/>
      <c r="AS347" s="145"/>
      <c r="AT347" s="145"/>
      <c r="AU347" s="145"/>
      <c r="AV347" s="146"/>
      <c r="AW347" s="146"/>
      <c r="AX347" s="146"/>
      <c r="AY347" s="146"/>
      <c r="AZ347" s="145"/>
      <c r="BA347" s="146"/>
      <c r="BB347" s="145"/>
      <c r="BC347" s="145"/>
      <c r="BD347" s="145"/>
      <c r="BE347" s="145"/>
      <c r="BF347" s="145"/>
      <c r="BG347" s="145"/>
      <c r="BH347" s="145"/>
      <c r="BI347" s="145"/>
      <c r="BJ347" s="145"/>
      <c r="BK347" s="145"/>
    </row>
    <row r="348" spans="1:63" s="147" customFormat="1" ht="15" x14ac:dyDescent="0.25">
      <c r="A348" s="39" t="s">
        <v>600</v>
      </c>
      <c r="B348" s="97" t="s">
        <v>110</v>
      </c>
      <c r="C348" s="103" t="s">
        <v>111</v>
      </c>
      <c r="D348" s="103"/>
      <c r="E348" s="103"/>
      <c r="F348" s="103"/>
      <c r="G348" s="103"/>
      <c r="H348" s="41" t="s">
        <v>67</v>
      </c>
      <c r="I348" s="42">
        <v>2.7280000000000002</v>
      </c>
      <c r="J348" s="43">
        <v>1</v>
      </c>
      <c r="K348" s="66">
        <v>2.7280000000000002</v>
      </c>
      <c r="L348" s="61">
        <v>65.84</v>
      </c>
      <c r="M348" s="67">
        <v>1.2</v>
      </c>
      <c r="N348" s="61">
        <v>79.010000000000005</v>
      </c>
      <c r="O348" s="42"/>
      <c r="P348" s="50">
        <v>247.87099999999998</v>
      </c>
      <c r="Q348" s="82"/>
      <c r="R348" s="82"/>
      <c r="S348" s="82"/>
      <c r="T348" s="82"/>
      <c r="U348" s="167"/>
      <c r="V348" s="82"/>
      <c r="W348" s="151"/>
      <c r="X348" s="82"/>
      <c r="Y348" s="82"/>
      <c r="Z348" s="82"/>
      <c r="AA348" s="82"/>
      <c r="AB348" s="145"/>
      <c r="AC348" s="145"/>
      <c r="AD348" s="145"/>
      <c r="AE348" s="145"/>
      <c r="AF348" s="145"/>
      <c r="AG348" s="145"/>
      <c r="AH348" s="145"/>
      <c r="AI348" s="145"/>
      <c r="AJ348" s="145"/>
      <c r="AK348" s="145"/>
      <c r="AL348" s="145"/>
      <c r="AM348" s="145"/>
      <c r="AN348" s="145"/>
      <c r="AO348" s="145"/>
      <c r="AP348" s="145"/>
      <c r="AQ348" s="145"/>
      <c r="AR348" s="145"/>
      <c r="AS348" s="145"/>
      <c r="AT348" s="145"/>
      <c r="AU348" s="145"/>
      <c r="AV348" s="146"/>
      <c r="AW348" s="146"/>
      <c r="AX348" s="146"/>
      <c r="AY348" s="146"/>
      <c r="AZ348" s="145"/>
      <c r="BA348" s="146"/>
      <c r="BB348" s="145"/>
      <c r="BC348" s="145"/>
      <c r="BD348" s="145"/>
      <c r="BE348" s="145"/>
      <c r="BF348" s="145"/>
      <c r="BG348" s="145"/>
      <c r="BH348" s="145"/>
      <c r="BI348" s="145"/>
      <c r="BJ348" s="145"/>
      <c r="BK348" s="145"/>
    </row>
    <row r="349" spans="1:63" s="147" customFormat="1" ht="15" x14ac:dyDescent="0.25">
      <c r="A349" s="59"/>
      <c r="B349" s="98"/>
      <c r="C349" s="102" t="s">
        <v>63</v>
      </c>
      <c r="D349" s="102"/>
      <c r="E349" s="102"/>
      <c r="F349" s="102"/>
      <c r="G349" s="102"/>
      <c r="H349" s="41"/>
      <c r="I349" s="42"/>
      <c r="J349" s="42"/>
      <c r="K349" s="42"/>
      <c r="L349" s="45"/>
      <c r="M349" s="42"/>
      <c r="N349" s="45"/>
      <c r="O349" s="42"/>
      <c r="P349" s="50">
        <v>247.87099999999998</v>
      </c>
      <c r="Q349" s="82"/>
      <c r="R349" s="82"/>
      <c r="S349" s="82"/>
      <c r="T349" s="82"/>
      <c r="U349" s="167"/>
      <c r="V349" s="82"/>
      <c r="W349" s="171"/>
      <c r="X349" s="82"/>
      <c r="Y349" s="82"/>
      <c r="Z349" s="82"/>
      <c r="AA349" s="82"/>
      <c r="AB349" s="145"/>
      <c r="AC349" s="145"/>
      <c r="AD349" s="145"/>
      <c r="AE349" s="145"/>
      <c r="AF349" s="145"/>
      <c r="AG349" s="145"/>
      <c r="AH349" s="145"/>
      <c r="AI349" s="145"/>
      <c r="AJ349" s="145"/>
      <c r="AK349" s="145"/>
      <c r="AL349" s="145"/>
      <c r="AM349" s="145"/>
      <c r="AN349" s="145"/>
      <c r="AO349" s="145"/>
      <c r="AP349" s="145"/>
      <c r="AQ349" s="145"/>
      <c r="AR349" s="145"/>
      <c r="AS349" s="145"/>
      <c r="AT349" s="145"/>
      <c r="AU349" s="145"/>
      <c r="AV349" s="146"/>
      <c r="AW349" s="146"/>
      <c r="AX349" s="146"/>
      <c r="AY349" s="146"/>
      <c r="AZ349" s="145"/>
      <c r="BA349" s="146"/>
      <c r="BB349" s="145"/>
      <c r="BC349" s="145"/>
      <c r="BD349" s="145"/>
      <c r="BE349" s="145"/>
      <c r="BF349" s="145"/>
      <c r="BG349" s="145"/>
      <c r="BH349" s="145"/>
      <c r="BI349" s="145"/>
      <c r="BJ349" s="145"/>
      <c r="BK349" s="145"/>
    </row>
    <row r="350" spans="1:63" s="147" customFormat="1" ht="15" x14ac:dyDescent="0.25">
      <c r="A350" s="39" t="s">
        <v>601</v>
      </c>
      <c r="B350" s="97" t="s">
        <v>123</v>
      </c>
      <c r="C350" s="103" t="s">
        <v>124</v>
      </c>
      <c r="D350" s="103"/>
      <c r="E350" s="103"/>
      <c r="F350" s="103"/>
      <c r="G350" s="103"/>
      <c r="H350" s="41" t="s">
        <v>125</v>
      </c>
      <c r="I350" s="42">
        <v>0.27</v>
      </c>
      <c r="J350" s="43">
        <v>1</v>
      </c>
      <c r="K350" s="62">
        <v>0.27</v>
      </c>
      <c r="L350" s="45"/>
      <c r="M350" s="42"/>
      <c r="N350" s="45"/>
      <c r="O350" s="42"/>
      <c r="P350" s="50"/>
      <c r="Q350" s="82"/>
      <c r="R350" s="82"/>
      <c r="S350" s="82"/>
      <c r="T350" s="82"/>
      <c r="U350" s="153"/>
      <c r="V350" s="82"/>
      <c r="W350" s="151"/>
      <c r="X350" s="82"/>
      <c r="Y350" s="82"/>
      <c r="Z350" s="82"/>
      <c r="AA350" s="82"/>
      <c r="AB350" s="145"/>
      <c r="AC350" s="145"/>
      <c r="AD350" s="145"/>
      <c r="AE350" s="145"/>
      <c r="AF350" s="145"/>
      <c r="AG350" s="145"/>
      <c r="AH350" s="145"/>
      <c r="AI350" s="145"/>
      <c r="AJ350" s="145"/>
      <c r="AK350" s="145"/>
      <c r="AL350" s="145"/>
      <c r="AM350" s="145"/>
      <c r="AN350" s="145"/>
      <c r="AO350" s="145"/>
      <c r="AP350" s="145"/>
      <c r="AQ350" s="145"/>
      <c r="AR350" s="145"/>
      <c r="AS350" s="145"/>
      <c r="AT350" s="145"/>
      <c r="AU350" s="145"/>
      <c r="AV350" s="146"/>
      <c r="AW350" s="146"/>
      <c r="AX350" s="146"/>
      <c r="AY350" s="146"/>
      <c r="AZ350" s="145"/>
      <c r="BA350" s="146"/>
      <c r="BB350" s="145"/>
      <c r="BC350" s="145"/>
      <c r="BD350" s="145"/>
      <c r="BE350" s="145"/>
      <c r="BF350" s="145"/>
      <c r="BG350" s="145"/>
      <c r="BH350" s="145"/>
      <c r="BI350" s="145"/>
      <c r="BJ350" s="145"/>
      <c r="BK350" s="145"/>
    </row>
    <row r="351" spans="1:63" s="147" customFormat="1" ht="15" x14ac:dyDescent="0.25">
      <c r="A351" s="47"/>
      <c r="B351" s="48"/>
      <c r="C351" s="102" t="s">
        <v>56</v>
      </c>
      <c r="D351" s="102"/>
      <c r="E351" s="102"/>
      <c r="F351" s="102"/>
      <c r="G351" s="102"/>
      <c r="H351" s="41"/>
      <c r="I351" s="42"/>
      <c r="J351" s="42"/>
      <c r="K351" s="42"/>
      <c r="L351" s="45"/>
      <c r="M351" s="42"/>
      <c r="N351" s="49"/>
      <c r="O351" s="42"/>
      <c r="P351" s="50">
        <v>844.41049999999996</v>
      </c>
      <c r="Q351" s="157"/>
      <c r="R351" s="157"/>
      <c r="S351" s="82"/>
      <c r="T351" s="82"/>
      <c r="U351" s="156"/>
      <c r="V351" s="82"/>
      <c r="W351" s="168"/>
      <c r="X351" s="82"/>
      <c r="Y351" s="82"/>
      <c r="Z351" s="82"/>
      <c r="AA351" s="82"/>
      <c r="AB351" s="145"/>
      <c r="AC351" s="145"/>
      <c r="AD351" s="145"/>
      <c r="AE351" s="145"/>
      <c r="AF351" s="145"/>
      <c r="AG351" s="145"/>
      <c r="AH351" s="145"/>
      <c r="AI351" s="145"/>
      <c r="AJ351" s="145"/>
      <c r="AK351" s="145"/>
      <c r="AL351" s="145"/>
      <c r="AM351" s="145"/>
      <c r="AN351" s="145"/>
      <c r="AO351" s="145"/>
      <c r="AP351" s="145"/>
      <c r="AQ351" s="145"/>
      <c r="AR351" s="145"/>
      <c r="AS351" s="145"/>
      <c r="AT351" s="145"/>
      <c r="AU351" s="145"/>
      <c r="AV351" s="146"/>
      <c r="AW351" s="146"/>
      <c r="AX351" s="146"/>
      <c r="AY351" s="146"/>
      <c r="AZ351" s="145"/>
      <c r="BA351" s="146"/>
      <c r="BB351" s="145"/>
      <c r="BC351" s="145"/>
      <c r="BD351" s="145"/>
      <c r="BE351" s="145"/>
      <c r="BF351" s="145"/>
      <c r="BG351" s="145"/>
      <c r="BH351" s="145"/>
      <c r="BI351" s="145"/>
      <c r="BJ351" s="145"/>
      <c r="BK351" s="145"/>
    </row>
    <row r="352" spans="1:63" s="147" customFormat="1" ht="15" x14ac:dyDescent="0.25">
      <c r="A352" s="52"/>
      <c r="B352" s="53"/>
      <c r="C352" s="104" t="s">
        <v>57</v>
      </c>
      <c r="D352" s="104"/>
      <c r="E352" s="104"/>
      <c r="F352" s="104"/>
      <c r="G352" s="104"/>
      <c r="H352" s="54"/>
      <c r="I352" s="55"/>
      <c r="J352" s="55"/>
      <c r="K352" s="55"/>
      <c r="L352" s="56"/>
      <c r="M352" s="55"/>
      <c r="N352" s="56"/>
      <c r="O352" s="55"/>
      <c r="P352" s="77">
        <v>764.66949999999986</v>
      </c>
      <c r="Q352" s="82"/>
      <c r="R352" s="82"/>
      <c r="S352" s="82"/>
      <c r="T352" s="82"/>
      <c r="U352" s="170"/>
      <c r="V352" s="82"/>
      <c r="W352" s="151"/>
      <c r="X352" s="82"/>
      <c r="Y352" s="82"/>
      <c r="Z352" s="82"/>
      <c r="AA352" s="82"/>
      <c r="AB352" s="145"/>
      <c r="AC352" s="145"/>
      <c r="AD352" s="145"/>
      <c r="AE352" s="145"/>
      <c r="AF352" s="145"/>
      <c r="AG352" s="145"/>
      <c r="AH352" s="145"/>
      <c r="AI352" s="145"/>
      <c r="AJ352" s="145"/>
      <c r="AK352" s="145"/>
      <c r="AL352" s="145"/>
      <c r="AM352" s="145"/>
      <c r="AN352" s="145"/>
      <c r="AO352" s="145"/>
      <c r="AP352" s="145"/>
      <c r="AQ352" s="145"/>
      <c r="AR352" s="145"/>
      <c r="AS352" s="145"/>
      <c r="AT352" s="145"/>
      <c r="AU352" s="145"/>
      <c r="AV352" s="146"/>
      <c r="AW352" s="146"/>
      <c r="AX352" s="146"/>
      <c r="AY352" s="146"/>
      <c r="AZ352" s="145"/>
      <c r="BA352" s="146"/>
      <c r="BB352" s="145"/>
      <c r="BC352" s="145"/>
      <c r="BD352" s="145"/>
      <c r="BE352" s="145"/>
      <c r="BF352" s="145"/>
      <c r="BG352" s="145"/>
      <c r="BH352" s="145"/>
      <c r="BI352" s="145"/>
      <c r="BJ352" s="145"/>
      <c r="BK352" s="145"/>
    </row>
    <row r="353" spans="1:63" s="147" customFormat="1" ht="15" x14ac:dyDescent="0.25">
      <c r="A353" s="52"/>
      <c r="B353" s="53" t="s">
        <v>98</v>
      </c>
      <c r="C353" s="104" t="s">
        <v>99</v>
      </c>
      <c r="D353" s="104"/>
      <c r="E353" s="104"/>
      <c r="F353" s="104"/>
      <c r="G353" s="104"/>
      <c r="H353" s="54" t="s">
        <v>60</v>
      </c>
      <c r="I353" s="58">
        <v>108</v>
      </c>
      <c r="J353" s="55"/>
      <c r="K353" s="58">
        <v>108</v>
      </c>
      <c r="L353" s="56"/>
      <c r="M353" s="55"/>
      <c r="N353" s="56"/>
      <c r="O353" s="55"/>
      <c r="P353" s="77">
        <v>825.83799999999997</v>
      </c>
      <c r="Q353" s="82"/>
      <c r="R353" s="82"/>
      <c r="S353" s="82"/>
      <c r="T353" s="82"/>
      <c r="U353" s="170"/>
      <c r="V353" s="82"/>
      <c r="W353" s="160"/>
      <c r="X353" s="82"/>
      <c r="Y353" s="82"/>
      <c r="Z353" s="82"/>
      <c r="AA353" s="82"/>
      <c r="AB353" s="145"/>
      <c r="AC353" s="145"/>
      <c r="AD353" s="145"/>
      <c r="AE353" s="145"/>
      <c r="AF353" s="145"/>
      <c r="AG353" s="145"/>
      <c r="AH353" s="145"/>
      <c r="AI353" s="145"/>
      <c r="AJ353" s="145"/>
      <c r="AK353" s="145"/>
      <c r="AL353" s="145"/>
      <c r="AM353" s="145"/>
      <c r="AN353" s="145"/>
      <c r="AO353" s="145"/>
      <c r="AP353" s="145"/>
      <c r="AQ353" s="145"/>
      <c r="AR353" s="145"/>
      <c r="AS353" s="145"/>
      <c r="AT353" s="145"/>
      <c r="AU353" s="145"/>
      <c r="AV353" s="146"/>
      <c r="AW353" s="146"/>
      <c r="AX353" s="146"/>
      <c r="AY353" s="146"/>
      <c r="AZ353" s="145"/>
      <c r="BA353" s="146"/>
      <c r="BB353" s="145"/>
      <c r="BC353" s="145"/>
      <c r="BD353" s="145"/>
      <c r="BE353" s="145"/>
      <c r="BF353" s="145"/>
      <c r="BG353" s="145"/>
      <c r="BH353" s="145"/>
      <c r="BI353" s="145"/>
      <c r="BJ353" s="145"/>
      <c r="BK353" s="145"/>
    </row>
    <row r="354" spans="1:63" s="147" customFormat="1" ht="15" x14ac:dyDescent="0.25">
      <c r="A354" s="52"/>
      <c r="B354" s="53" t="s">
        <v>100</v>
      </c>
      <c r="C354" s="104" t="s">
        <v>101</v>
      </c>
      <c r="D354" s="104"/>
      <c r="E354" s="104"/>
      <c r="F354" s="104"/>
      <c r="G354" s="104"/>
      <c r="H354" s="54" t="s">
        <v>60</v>
      </c>
      <c r="I354" s="58">
        <v>55</v>
      </c>
      <c r="J354" s="55"/>
      <c r="K354" s="58">
        <v>55</v>
      </c>
      <c r="L354" s="56"/>
      <c r="M354" s="55"/>
      <c r="N354" s="56"/>
      <c r="O354" s="55"/>
      <c r="P354" s="77">
        <v>420.56649999999996</v>
      </c>
      <c r="Q354" s="82"/>
      <c r="R354" s="82"/>
      <c r="S354" s="82"/>
      <c r="T354" s="82"/>
      <c r="U354" s="170"/>
      <c r="V354" s="82"/>
      <c r="W354" s="164"/>
      <c r="X354" s="82"/>
      <c r="Y354" s="82"/>
      <c r="Z354" s="82"/>
      <c r="AA354" s="82"/>
      <c r="AB354" s="145"/>
      <c r="AC354" s="145"/>
      <c r="AD354" s="145"/>
      <c r="AE354" s="145"/>
      <c r="AF354" s="145"/>
      <c r="AG354" s="145"/>
      <c r="AH354" s="145"/>
      <c r="AI354" s="145"/>
      <c r="AJ354" s="145"/>
      <c r="AK354" s="145"/>
      <c r="AL354" s="145"/>
      <c r="AM354" s="145"/>
      <c r="AN354" s="145"/>
      <c r="AO354" s="145"/>
      <c r="AP354" s="145"/>
      <c r="AQ354" s="145"/>
      <c r="AR354" s="145"/>
      <c r="AS354" s="145"/>
      <c r="AT354" s="145"/>
      <c r="AU354" s="145"/>
      <c r="AV354" s="146"/>
      <c r="AW354" s="146"/>
      <c r="AX354" s="146"/>
      <c r="AY354" s="146"/>
      <c r="AZ354" s="145"/>
      <c r="BA354" s="146"/>
      <c r="BB354" s="145"/>
      <c r="BC354" s="145"/>
      <c r="BD354" s="145"/>
      <c r="BE354" s="145"/>
      <c r="BF354" s="145"/>
      <c r="BG354" s="145"/>
      <c r="BH354" s="145"/>
      <c r="BI354" s="145"/>
      <c r="BJ354" s="145"/>
      <c r="BK354" s="145"/>
    </row>
    <row r="355" spans="1:63" s="147" customFormat="1" ht="15" x14ac:dyDescent="0.25">
      <c r="A355" s="59"/>
      <c r="B355" s="98"/>
      <c r="C355" s="102" t="s">
        <v>63</v>
      </c>
      <c r="D355" s="102"/>
      <c r="E355" s="102"/>
      <c r="F355" s="102"/>
      <c r="G355" s="102"/>
      <c r="H355" s="41"/>
      <c r="I355" s="42"/>
      <c r="J355" s="42"/>
      <c r="K355" s="42"/>
      <c r="L355" s="45"/>
      <c r="M355" s="42"/>
      <c r="N355" s="49">
        <v>6733.7</v>
      </c>
      <c r="O355" s="42"/>
      <c r="P355" s="50">
        <v>2090.8149999999996</v>
      </c>
      <c r="Q355" s="82"/>
      <c r="R355" s="82"/>
      <c r="S355" s="82"/>
      <c r="T355" s="82"/>
      <c r="U355" s="156"/>
      <c r="V355" s="82"/>
      <c r="W355" s="164"/>
      <c r="X355" s="82"/>
      <c r="Y355" s="82"/>
      <c r="Z355" s="82"/>
      <c r="AA355" s="82"/>
      <c r="AB355" s="145"/>
      <c r="AC355" s="145"/>
      <c r="AD355" s="145"/>
      <c r="AE355" s="145"/>
      <c r="AF355" s="145"/>
      <c r="AG355" s="145"/>
      <c r="AH355" s="145"/>
      <c r="AI355" s="145"/>
      <c r="AJ355" s="145"/>
      <c r="AK355" s="145"/>
      <c r="AL355" s="145"/>
      <c r="AM355" s="145"/>
      <c r="AN355" s="145"/>
      <c r="AO355" s="145"/>
      <c r="AP355" s="145"/>
      <c r="AQ355" s="145"/>
      <c r="AR355" s="145"/>
      <c r="AS355" s="145"/>
      <c r="AT355" s="145"/>
      <c r="AU355" s="145"/>
      <c r="AV355" s="146"/>
      <c r="AW355" s="146"/>
      <c r="AX355" s="146"/>
      <c r="AY355" s="146"/>
      <c r="AZ355" s="145"/>
      <c r="BA355" s="146"/>
      <c r="BB355" s="145"/>
      <c r="BC355" s="145"/>
      <c r="BD355" s="145"/>
      <c r="BE355" s="145"/>
      <c r="BF355" s="145"/>
      <c r="BG355" s="145"/>
      <c r="BH355" s="145"/>
      <c r="BI355" s="145"/>
      <c r="BJ355" s="145"/>
      <c r="BK355" s="145"/>
    </row>
    <row r="356" spans="1:63" s="147" customFormat="1" ht="15" x14ac:dyDescent="0.25">
      <c r="A356" s="39" t="s">
        <v>602</v>
      </c>
      <c r="B356" s="97" t="s">
        <v>127</v>
      </c>
      <c r="C356" s="103" t="s">
        <v>128</v>
      </c>
      <c r="D356" s="103"/>
      <c r="E356" s="103"/>
      <c r="F356" s="103"/>
      <c r="G356" s="103"/>
      <c r="H356" s="41" t="s">
        <v>129</v>
      </c>
      <c r="I356" s="42">
        <v>2.7</v>
      </c>
      <c r="J356" s="43">
        <v>1</v>
      </c>
      <c r="K356" s="43">
        <v>2.7</v>
      </c>
      <c r="L356" s="61">
        <v>94.58</v>
      </c>
      <c r="M356" s="62">
        <v>1.17</v>
      </c>
      <c r="N356" s="61">
        <v>1106.5999999999999</v>
      </c>
      <c r="O356" s="42"/>
      <c r="P356" s="50">
        <v>3435.9929999999999</v>
      </c>
      <c r="Q356" s="82"/>
      <c r="R356" s="82"/>
      <c r="S356" s="82"/>
      <c r="T356" s="82"/>
      <c r="U356" s="156"/>
      <c r="V356" s="82"/>
      <c r="W356" s="151"/>
      <c r="X356" s="82"/>
      <c r="Y356" s="82"/>
      <c r="Z356" s="82"/>
      <c r="AA356" s="82"/>
      <c r="AB356" s="145"/>
      <c r="AC356" s="145"/>
      <c r="AD356" s="145"/>
      <c r="AE356" s="145"/>
      <c r="AF356" s="145"/>
      <c r="AG356" s="145"/>
      <c r="AH356" s="145"/>
      <c r="AI356" s="145"/>
      <c r="AJ356" s="145"/>
      <c r="AK356" s="145"/>
      <c r="AL356" s="145"/>
      <c r="AM356" s="145"/>
      <c r="AN356" s="145"/>
      <c r="AO356" s="145"/>
      <c r="AP356" s="145"/>
      <c r="AQ356" s="145"/>
      <c r="AR356" s="145"/>
      <c r="AS356" s="145"/>
      <c r="AT356" s="145"/>
      <c r="AU356" s="145"/>
      <c r="AV356" s="146"/>
      <c r="AW356" s="146"/>
      <c r="AX356" s="146"/>
      <c r="AY356" s="146"/>
      <c r="AZ356" s="145"/>
      <c r="BA356" s="146"/>
      <c r="BB356" s="145"/>
      <c r="BC356" s="145"/>
      <c r="BD356" s="145"/>
      <c r="BE356" s="145"/>
      <c r="BF356" s="145"/>
      <c r="BG356" s="145"/>
      <c r="BH356" s="145"/>
      <c r="BI356" s="145"/>
      <c r="BJ356" s="145"/>
      <c r="BK356" s="145"/>
    </row>
    <row r="357" spans="1:63" s="147" customFormat="1" ht="15" x14ac:dyDescent="0.25">
      <c r="A357" s="59"/>
      <c r="B357" s="98"/>
      <c r="C357" s="102" t="s">
        <v>63</v>
      </c>
      <c r="D357" s="102"/>
      <c r="E357" s="102"/>
      <c r="F357" s="102"/>
      <c r="G357" s="102"/>
      <c r="H357" s="41"/>
      <c r="I357" s="42"/>
      <c r="J357" s="42"/>
      <c r="K357" s="42"/>
      <c r="L357" s="45"/>
      <c r="M357" s="42"/>
      <c r="N357" s="45"/>
      <c r="O357" s="42"/>
      <c r="P357" s="50">
        <v>3435.9929999999999</v>
      </c>
      <c r="Q357" s="82"/>
      <c r="R357" s="82"/>
      <c r="S357" s="82"/>
      <c r="T357" s="82"/>
      <c r="U357" s="156"/>
      <c r="V357" s="82"/>
      <c r="W357" s="152"/>
      <c r="X357" s="82"/>
      <c r="Y357" s="82"/>
      <c r="Z357" s="82"/>
      <c r="AA357" s="82"/>
      <c r="AB357" s="145"/>
      <c r="AC357" s="145"/>
      <c r="AD357" s="145"/>
      <c r="AE357" s="145"/>
      <c r="AF357" s="145"/>
      <c r="AG357" s="145"/>
      <c r="AH357" s="145"/>
      <c r="AI357" s="145"/>
      <c r="AJ357" s="145"/>
      <c r="AK357" s="145"/>
      <c r="AL357" s="145"/>
      <c r="AM357" s="145"/>
      <c r="AN357" s="145"/>
      <c r="AO357" s="145"/>
      <c r="AP357" s="145"/>
      <c r="AQ357" s="145"/>
      <c r="AR357" s="145"/>
      <c r="AS357" s="145"/>
      <c r="AT357" s="145"/>
      <c r="AU357" s="145"/>
      <c r="AV357" s="146"/>
      <c r="AW357" s="146"/>
      <c r="AX357" s="146"/>
      <c r="AY357" s="146"/>
      <c r="AZ357" s="145"/>
      <c r="BA357" s="146"/>
      <c r="BB357" s="145"/>
      <c r="BC357" s="145"/>
      <c r="BD357" s="145"/>
      <c r="BE357" s="145"/>
      <c r="BF357" s="145"/>
      <c r="BG357" s="145"/>
      <c r="BH357" s="145"/>
      <c r="BI357" s="145"/>
      <c r="BJ357" s="145"/>
      <c r="BK357" s="145"/>
    </row>
    <row r="358" spans="1:63" s="147" customFormat="1" ht="15" x14ac:dyDescent="0.25">
      <c r="A358" s="39" t="s">
        <v>603</v>
      </c>
      <c r="B358" s="97" t="s">
        <v>131</v>
      </c>
      <c r="C358" s="103" t="s">
        <v>132</v>
      </c>
      <c r="D358" s="103"/>
      <c r="E358" s="103"/>
      <c r="F358" s="103"/>
      <c r="G358" s="103"/>
      <c r="H358" s="41" t="s">
        <v>55</v>
      </c>
      <c r="I358" s="42">
        <v>0.11600000000000001</v>
      </c>
      <c r="J358" s="43">
        <v>1</v>
      </c>
      <c r="K358" s="44">
        <v>0.11600000000000001</v>
      </c>
      <c r="L358" s="45"/>
      <c r="M358" s="42"/>
      <c r="N358" s="45"/>
      <c r="O358" s="42"/>
      <c r="P358" s="50"/>
      <c r="Q358" s="82"/>
      <c r="R358" s="82"/>
      <c r="S358" s="82"/>
      <c r="T358" s="82"/>
      <c r="U358" s="153"/>
      <c r="V358" s="82"/>
      <c r="W358" s="151"/>
      <c r="X358" s="82"/>
      <c r="Y358" s="82"/>
      <c r="Z358" s="82"/>
      <c r="AA358" s="82"/>
      <c r="AB358" s="145"/>
      <c r="AC358" s="145"/>
      <c r="AD358" s="145"/>
      <c r="AE358" s="145"/>
      <c r="AF358" s="145"/>
      <c r="AG358" s="145"/>
      <c r="AH358" s="145"/>
      <c r="AI358" s="145"/>
      <c r="AJ358" s="145"/>
      <c r="AK358" s="145"/>
      <c r="AL358" s="145"/>
      <c r="AM358" s="145"/>
      <c r="AN358" s="145"/>
      <c r="AO358" s="145"/>
      <c r="AP358" s="145"/>
      <c r="AQ358" s="145"/>
      <c r="AR358" s="145"/>
      <c r="AS358" s="145"/>
      <c r="AT358" s="145"/>
      <c r="AU358" s="145"/>
      <c r="AV358" s="146"/>
      <c r="AW358" s="146"/>
      <c r="AX358" s="146"/>
      <c r="AY358" s="146"/>
      <c r="AZ358" s="145"/>
      <c r="BA358" s="146"/>
      <c r="BB358" s="145"/>
      <c r="BC358" s="145"/>
      <c r="BD358" s="145"/>
      <c r="BE358" s="145"/>
      <c r="BF358" s="145"/>
      <c r="BG358" s="145"/>
      <c r="BH358" s="145"/>
      <c r="BI358" s="145"/>
      <c r="BJ358" s="145"/>
      <c r="BK358" s="145"/>
    </row>
    <row r="359" spans="1:63" s="147" customFormat="1" ht="15" x14ac:dyDescent="0.25">
      <c r="A359" s="47"/>
      <c r="B359" s="48"/>
      <c r="C359" s="102" t="s">
        <v>56</v>
      </c>
      <c r="D359" s="102"/>
      <c r="E359" s="102"/>
      <c r="F359" s="102"/>
      <c r="G359" s="102"/>
      <c r="H359" s="41"/>
      <c r="I359" s="42"/>
      <c r="J359" s="42"/>
      <c r="K359" s="42"/>
      <c r="L359" s="45"/>
      <c r="M359" s="42"/>
      <c r="N359" s="49"/>
      <c r="O359" s="42"/>
      <c r="P359" s="50">
        <v>3346.4539999999997</v>
      </c>
      <c r="Q359" s="157"/>
      <c r="R359" s="157"/>
      <c r="S359" s="82"/>
      <c r="T359" s="82"/>
      <c r="U359" s="156"/>
      <c r="V359" s="82"/>
      <c r="W359" s="166"/>
      <c r="X359" s="82"/>
      <c r="Y359" s="82"/>
      <c r="Z359" s="82"/>
      <c r="AA359" s="82"/>
      <c r="AB359" s="145"/>
      <c r="AC359" s="145"/>
      <c r="AD359" s="145"/>
      <c r="AE359" s="145"/>
      <c r="AF359" s="145"/>
      <c r="AG359" s="145"/>
      <c r="AH359" s="145"/>
      <c r="AI359" s="145"/>
      <c r="AJ359" s="145"/>
      <c r="AK359" s="145"/>
      <c r="AL359" s="145"/>
      <c r="AM359" s="145"/>
      <c r="AN359" s="145"/>
      <c r="AO359" s="145"/>
      <c r="AP359" s="145"/>
      <c r="AQ359" s="145"/>
      <c r="AR359" s="145"/>
      <c r="AS359" s="145"/>
      <c r="AT359" s="145"/>
      <c r="AU359" s="145"/>
      <c r="AV359" s="146"/>
      <c r="AW359" s="146"/>
      <c r="AX359" s="146"/>
      <c r="AY359" s="146"/>
      <c r="AZ359" s="145"/>
      <c r="BA359" s="146"/>
      <c r="BB359" s="145"/>
      <c r="BC359" s="145"/>
      <c r="BD359" s="145"/>
      <c r="BE359" s="145"/>
      <c r="BF359" s="145"/>
      <c r="BG359" s="145"/>
      <c r="BH359" s="145"/>
      <c r="BI359" s="145"/>
      <c r="BJ359" s="145"/>
      <c r="BK359" s="145"/>
    </row>
    <row r="360" spans="1:63" s="147" customFormat="1" ht="15" x14ac:dyDescent="0.25">
      <c r="A360" s="52"/>
      <c r="B360" s="53"/>
      <c r="C360" s="104" t="s">
        <v>57</v>
      </c>
      <c r="D360" s="104"/>
      <c r="E360" s="104"/>
      <c r="F360" s="104"/>
      <c r="G360" s="104"/>
      <c r="H360" s="54"/>
      <c r="I360" s="55"/>
      <c r="J360" s="55"/>
      <c r="K360" s="55"/>
      <c r="L360" s="56"/>
      <c r="M360" s="55"/>
      <c r="N360" s="56"/>
      <c r="O360" s="55"/>
      <c r="P360" s="77">
        <v>2585.7059999999997</v>
      </c>
      <c r="Q360" s="82"/>
      <c r="R360" s="82"/>
      <c r="S360" s="82"/>
      <c r="T360" s="82"/>
      <c r="U360" s="163"/>
      <c r="V360" s="82"/>
      <c r="W360" s="151"/>
      <c r="X360" s="82"/>
      <c r="Y360" s="82"/>
      <c r="Z360" s="82"/>
      <c r="AA360" s="82"/>
      <c r="AB360" s="145"/>
      <c r="AC360" s="145"/>
      <c r="AD360" s="145"/>
      <c r="AE360" s="145"/>
      <c r="AF360" s="145"/>
      <c r="AG360" s="145"/>
      <c r="AH360" s="145"/>
      <c r="AI360" s="145"/>
      <c r="AJ360" s="145"/>
      <c r="AK360" s="145"/>
      <c r="AL360" s="145"/>
      <c r="AM360" s="145"/>
      <c r="AN360" s="145"/>
      <c r="AO360" s="145"/>
      <c r="AP360" s="145"/>
      <c r="AQ360" s="145"/>
      <c r="AR360" s="145"/>
      <c r="AS360" s="145"/>
      <c r="AT360" s="145"/>
      <c r="AU360" s="145"/>
      <c r="AV360" s="146"/>
      <c r="AW360" s="146"/>
      <c r="AX360" s="146"/>
      <c r="AY360" s="146"/>
      <c r="AZ360" s="145"/>
      <c r="BA360" s="146"/>
      <c r="BB360" s="145"/>
      <c r="BC360" s="145"/>
      <c r="BD360" s="145"/>
      <c r="BE360" s="145"/>
      <c r="BF360" s="145"/>
      <c r="BG360" s="145"/>
      <c r="BH360" s="145"/>
      <c r="BI360" s="145"/>
      <c r="BJ360" s="145"/>
      <c r="BK360" s="145"/>
    </row>
    <row r="361" spans="1:63" s="147" customFormat="1" ht="15" x14ac:dyDescent="0.25">
      <c r="A361" s="52"/>
      <c r="B361" s="53" t="s">
        <v>58</v>
      </c>
      <c r="C361" s="104" t="s">
        <v>59</v>
      </c>
      <c r="D361" s="104"/>
      <c r="E361" s="104"/>
      <c r="F361" s="104"/>
      <c r="G361" s="104"/>
      <c r="H361" s="54" t="s">
        <v>60</v>
      </c>
      <c r="I361" s="58">
        <v>100</v>
      </c>
      <c r="J361" s="55"/>
      <c r="K361" s="58">
        <v>100</v>
      </c>
      <c r="L361" s="56"/>
      <c r="M361" s="55"/>
      <c r="N361" s="56"/>
      <c r="O361" s="55"/>
      <c r="P361" s="77">
        <v>2585.7059999999997</v>
      </c>
      <c r="Q361" s="82"/>
      <c r="R361" s="82"/>
      <c r="S361" s="82"/>
      <c r="T361" s="82"/>
      <c r="U361" s="163"/>
      <c r="V361" s="82"/>
      <c r="W361" s="160"/>
      <c r="X361" s="82"/>
      <c r="Y361" s="82"/>
      <c r="Z361" s="82"/>
      <c r="AA361" s="82"/>
      <c r="AB361" s="145"/>
      <c r="AC361" s="145"/>
      <c r="AD361" s="145"/>
      <c r="AE361" s="145"/>
      <c r="AF361" s="145"/>
      <c r="AG361" s="145"/>
      <c r="AH361" s="145"/>
      <c r="AI361" s="145"/>
      <c r="AJ361" s="145"/>
      <c r="AK361" s="145"/>
      <c r="AL361" s="145"/>
      <c r="AM361" s="145"/>
      <c r="AN361" s="145"/>
      <c r="AO361" s="145"/>
      <c r="AP361" s="145"/>
      <c r="AQ361" s="145"/>
      <c r="AR361" s="145"/>
      <c r="AS361" s="145"/>
      <c r="AT361" s="145"/>
      <c r="AU361" s="145"/>
      <c r="AV361" s="146"/>
      <c r="AW361" s="146"/>
      <c r="AX361" s="146"/>
      <c r="AY361" s="146"/>
      <c r="AZ361" s="145"/>
      <c r="BA361" s="146"/>
      <c r="BB361" s="145"/>
      <c r="BC361" s="145"/>
      <c r="BD361" s="145"/>
      <c r="BE361" s="145"/>
      <c r="BF361" s="145"/>
      <c r="BG361" s="145"/>
      <c r="BH361" s="145"/>
      <c r="BI361" s="145"/>
      <c r="BJ361" s="145"/>
      <c r="BK361" s="145"/>
    </row>
    <row r="362" spans="1:63" s="147" customFormat="1" ht="15" x14ac:dyDescent="0.25">
      <c r="A362" s="52"/>
      <c r="B362" s="53" t="s">
        <v>61</v>
      </c>
      <c r="C362" s="104" t="s">
        <v>62</v>
      </c>
      <c r="D362" s="104"/>
      <c r="E362" s="104"/>
      <c r="F362" s="104"/>
      <c r="G362" s="104"/>
      <c r="H362" s="54" t="s">
        <v>60</v>
      </c>
      <c r="I362" s="58">
        <v>49</v>
      </c>
      <c r="J362" s="55"/>
      <c r="K362" s="58">
        <v>49</v>
      </c>
      <c r="L362" s="56"/>
      <c r="M362" s="55"/>
      <c r="N362" s="56"/>
      <c r="O362" s="55"/>
      <c r="P362" s="77">
        <v>1267.001</v>
      </c>
      <c r="Q362" s="82"/>
      <c r="R362" s="82"/>
      <c r="S362" s="82"/>
      <c r="T362" s="82"/>
      <c r="U362" s="163"/>
      <c r="V362" s="82"/>
      <c r="W362" s="164"/>
      <c r="X362" s="82"/>
      <c r="Y362" s="82"/>
      <c r="Z362" s="82"/>
      <c r="AA362" s="82"/>
      <c r="AB362" s="145"/>
      <c r="AC362" s="145"/>
      <c r="AD362" s="145"/>
      <c r="AE362" s="145"/>
      <c r="AF362" s="145"/>
      <c r="AG362" s="145"/>
      <c r="AH362" s="145"/>
      <c r="AI362" s="145"/>
      <c r="AJ362" s="145"/>
      <c r="AK362" s="145"/>
      <c r="AL362" s="145"/>
      <c r="AM362" s="145"/>
      <c r="AN362" s="145"/>
      <c r="AO362" s="145"/>
      <c r="AP362" s="145"/>
      <c r="AQ362" s="145"/>
      <c r="AR362" s="145"/>
      <c r="AS362" s="145"/>
      <c r="AT362" s="145"/>
      <c r="AU362" s="145"/>
      <c r="AV362" s="146"/>
      <c r="AW362" s="146"/>
      <c r="AX362" s="146"/>
      <c r="AY362" s="146"/>
      <c r="AZ362" s="145"/>
      <c r="BA362" s="146"/>
      <c r="BB362" s="145"/>
      <c r="BC362" s="145"/>
      <c r="BD362" s="145"/>
      <c r="BE362" s="145"/>
      <c r="BF362" s="145"/>
      <c r="BG362" s="145"/>
      <c r="BH362" s="145"/>
      <c r="BI362" s="145"/>
      <c r="BJ362" s="145"/>
      <c r="BK362" s="145"/>
    </row>
    <row r="363" spans="1:63" s="147" customFormat="1" ht="15" x14ac:dyDescent="0.25">
      <c r="A363" s="59"/>
      <c r="B363" s="98"/>
      <c r="C363" s="102" t="s">
        <v>63</v>
      </c>
      <c r="D363" s="102"/>
      <c r="E363" s="102"/>
      <c r="F363" s="102"/>
      <c r="G363" s="102"/>
      <c r="H363" s="41"/>
      <c r="I363" s="42"/>
      <c r="J363" s="42"/>
      <c r="K363" s="42"/>
      <c r="L363" s="45"/>
      <c r="M363" s="42"/>
      <c r="N363" s="49">
        <v>45895.45</v>
      </c>
      <c r="O363" s="42"/>
      <c r="P363" s="50">
        <v>7199.1610000000001</v>
      </c>
      <c r="Q363" s="82"/>
      <c r="R363" s="82"/>
      <c r="S363" s="82"/>
      <c r="T363" s="82"/>
      <c r="U363" s="156"/>
      <c r="V363" s="82"/>
      <c r="W363" s="164"/>
      <c r="X363" s="82"/>
      <c r="Y363" s="82"/>
      <c r="Z363" s="82"/>
      <c r="AA363" s="82"/>
      <c r="AB363" s="145"/>
      <c r="AC363" s="145"/>
      <c r="AD363" s="145"/>
      <c r="AE363" s="145"/>
      <c r="AF363" s="145"/>
      <c r="AG363" s="145"/>
      <c r="AH363" s="145"/>
      <c r="AI363" s="145"/>
      <c r="AJ363" s="145"/>
      <c r="AK363" s="145"/>
      <c r="AL363" s="145"/>
      <c r="AM363" s="145"/>
      <c r="AN363" s="145"/>
      <c r="AO363" s="145"/>
      <c r="AP363" s="145"/>
      <c r="AQ363" s="145"/>
      <c r="AR363" s="145"/>
      <c r="AS363" s="145"/>
      <c r="AT363" s="145"/>
      <c r="AU363" s="145"/>
      <c r="AV363" s="146"/>
      <c r="AW363" s="146"/>
      <c r="AX363" s="146"/>
      <c r="AY363" s="146"/>
      <c r="AZ363" s="145"/>
      <c r="BA363" s="146"/>
      <c r="BB363" s="145"/>
      <c r="BC363" s="145"/>
      <c r="BD363" s="145"/>
      <c r="BE363" s="145"/>
      <c r="BF363" s="145"/>
      <c r="BG363" s="145"/>
      <c r="BH363" s="145"/>
      <c r="BI363" s="145"/>
      <c r="BJ363" s="145"/>
      <c r="BK363" s="145"/>
    </row>
    <row r="364" spans="1:63" s="147" customFormat="1" ht="15" x14ac:dyDescent="0.25">
      <c r="A364" s="39" t="s">
        <v>604</v>
      </c>
      <c r="B364" s="97" t="s">
        <v>134</v>
      </c>
      <c r="C364" s="103" t="s">
        <v>135</v>
      </c>
      <c r="D364" s="103"/>
      <c r="E364" s="103"/>
      <c r="F364" s="103"/>
      <c r="G364" s="103"/>
      <c r="H364" s="41" t="s">
        <v>71</v>
      </c>
      <c r="I364" s="42">
        <v>4.0920000000000002E-3</v>
      </c>
      <c r="J364" s="43">
        <v>1</v>
      </c>
      <c r="K364" s="68">
        <v>4.0920000000000002E-3</v>
      </c>
      <c r="L364" s="49">
        <v>52663.94</v>
      </c>
      <c r="M364" s="62">
        <v>1.81</v>
      </c>
      <c r="N364" s="49">
        <v>95321.73</v>
      </c>
      <c r="O364" s="42"/>
      <c r="P364" s="50">
        <v>448.56899999999996</v>
      </c>
      <c r="Q364" s="82"/>
      <c r="R364" s="82"/>
      <c r="S364" s="82"/>
      <c r="T364" s="82"/>
      <c r="U364" s="167"/>
      <c r="V364" s="82"/>
      <c r="W364" s="151"/>
      <c r="X364" s="82"/>
      <c r="Y364" s="82"/>
      <c r="Z364" s="82"/>
      <c r="AA364" s="82"/>
      <c r="AB364" s="145"/>
      <c r="AC364" s="145"/>
      <c r="AD364" s="145"/>
      <c r="AE364" s="145"/>
      <c r="AF364" s="145"/>
      <c r="AG364" s="145"/>
      <c r="AH364" s="145"/>
      <c r="AI364" s="145"/>
      <c r="AJ364" s="145"/>
      <c r="AK364" s="145"/>
      <c r="AL364" s="145"/>
      <c r="AM364" s="145"/>
      <c r="AN364" s="145"/>
      <c r="AO364" s="145"/>
      <c r="AP364" s="145"/>
      <c r="AQ364" s="145"/>
      <c r="AR364" s="145"/>
      <c r="AS364" s="145"/>
      <c r="AT364" s="145"/>
      <c r="AU364" s="145"/>
      <c r="AV364" s="146"/>
      <c r="AW364" s="146"/>
      <c r="AX364" s="146"/>
      <c r="AY364" s="146"/>
      <c r="AZ364" s="145"/>
      <c r="BA364" s="146"/>
      <c r="BB364" s="145"/>
      <c r="BC364" s="145"/>
      <c r="BD364" s="145"/>
      <c r="BE364" s="145"/>
      <c r="BF364" s="145"/>
      <c r="BG364" s="145"/>
      <c r="BH364" s="145"/>
      <c r="BI364" s="145"/>
      <c r="BJ364" s="145"/>
      <c r="BK364" s="145"/>
    </row>
    <row r="365" spans="1:63" s="147" customFormat="1" ht="15" x14ac:dyDescent="0.25">
      <c r="A365" s="59"/>
      <c r="B365" s="98"/>
      <c r="C365" s="102" t="s">
        <v>63</v>
      </c>
      <c r="D365" s="102"/>
      <c r="E365" s="102"/>
      <c r="F365" s="102"/>
      <c r="G365" s="102"/>
      <c r="H365" s="41"/>
      <c r="I365" s="42"/>
      <c r="J365" s="42"/>
      <c r="K365" s="42"/>
      <c r="L365" s="45"/>
      <c r="M365" s="42"/>
      <c r="N365" s="45"/>
      <c r="O365" s="42"/>
      <c r="P365" s="50">
        <v>448.56899999999996</v>
      </c>
      <c r="Q365" s="82"/>
      <c r="R365" s="82"/>
      <c r="S365" s="82"/>
      <c r="T365" s="82"/>
      <c r="U365" s="167"/>
      <c r="V365" s="82"/>
      <c r="W365" s="176"/>
      <c r="X365" s="82"/>
      <c r="Y365" s="82"/>
      <c r="Z365" s="82"/>
      <c r="AA365" s="82"/>
      <c r="AB365" s="145"/>
      <c r="AC365" s="145"/>
      <c r="AD365" s="145"/>
      <c r="AE365" s="145"/>
      <c r="AF365" s="145"/>
      <c r="AG365" s="145"/>
      <c r="AH365" s="145"/>
      <c r="AI365" s="145"/>
      <c r="AJ365" s="145"/>
      <c r="AK365" s="145"/>
      <c r="AL365" s="145"/>
      <c r="AM365" s="145"/>
      <c r="AN365" s="145"/>
      <c r="AO365" s="145"/>
      <c r="AP365" s="145"/>
      <c r="AQ365" s="145"/>
      <c r="AR365" s="145"/>
      <c r="AS365" s="145"/>
      <c r="AT365" s="145"/>
      <c r="AU365" s="145"/>
      <c r="AV365" s="146"/>
      <c r="AW365" s="146"/>
      <c r="AX365" s="146"/>
      <c r="AY365" s="146"/>
      <c r="AZ365" s="145"/>
      <c r="BA365" s="146"/>
      <c r="BB365" s="145"/>
      <c r="BC365" s="145"/>
      <c r="BD365" s="145"/>
      <c r="BE365" s="145"/>
      <c r="BF365" s="145"/>
      <c r="BG365" s="145"/>
      <c r="BH365" s="145"/>
      <c r="BI365" s="145"/>
      <c r="BJ365" s="145"/>
      <c r="BK365" s="145"/>
    </row>
    <row r="366" spans="1:63" s="147" customFormat="1" ht="15" x14ac:dyDescent="0.25">
      <c r="A366" s="39" t="s">
        <v>605</v>
      </c>
      <c r="B366" s="97" t="s">
        <v>137</v>
      </c>
      <c r="C366" s="103" t="s">
        <v>138</v>
      </c>
      <c r="D366" s="103"/>
      <c r="E366" s="103"/>
      <c r="F366" s="103"/>
      <c r="G366" s="103"/>
      <c r="H366" s="41" t="s">
        <v>67</v>
      </c>
      <c r="I366" s="42">
        <v>2.7280000000000002</v>
      </c>
      <c r="J366" s="43">
        <v>1</v>
      </c>
      <c r="K366" s="66">
        <v>2.7280000000000002</v>
      </c>
      <c r="L366" s="61">
        <v>144.12</v>
      </c>
      <c r="M366" s="67">
        <v>1.2</v>
      </c>
      <c r="N366" s="61">
        <v>172.94</v>
      </c>
      <c r="O366" s="42"/>
      <c r="P366" s="50">
        <v>542.54699999999991</v>
      </c>
      <c r="Q366" s="82"/>
      <c r="R366" s="82"/>
      <c r="S366" s="82"/>
      <c r="T366" s="82"/>
      <c r="U366" s="167"/>
      <c r="V366" s="82"/>
      <c r="W366" s="151"/>
      <c r="X366" s="82"/>
      <c r="Y366" s="82"/>
      <c r="Z366" s="82"/>
      <c r="AA366" s="82"/>
      <c r="AB366" s="145"/>
      <c r="AC366" s="145"/>
      <c r="AD366" s="145"/>
      <c r="AE366" s="145"/>
      <c r="AF366" s="145"/>
      <c r="AG366" s="145"/>
      <c r="AH366" s="145"/>
      <c r="AI366" s="145"/>
      <c r="AJ366" s="145"/>
      <c r="AK366" s="145"/>
      <c r="AL366" s="145"/>
      <c r="AM366" s="145"/>
      <c r="AN366" s="145"/>
      <c r="AO366" s="145"/>
      <c r="AP366" s="145"/>
      <c r="AQ366" s="145"/>
      <c r="AR366" s="145"/>
      <c r="AS366" s="145"/>
      <c r="AT366" s="145"/>
      <c r="AU366" s="145"/>
      <c r="AV366" s="146"/>
      <c r="AW366" s="146"/>
      <c r="AX366" s="146"/>
      <c r="AY366" s="146"/>
      <c r="AZ366" s="145"/>
      <c r="BA366" s="146"/>
      <c r="BB366" s="145"/>
      <c r="BC366" s="145"/>
      <c r="BD366" s="145"/>
      <c r="BE366" s="145"/>
      <c r="BF366" s="145"/>
      <c r="BG366" s="145"/>
      <c r="BH366" s="145"/>
      <c r="BI366" s="145"/>
      <c r="BJ366" s="145"/>
      <c r="BK366" s="145"/>
    </row>
    <row r="367" spans="1:63" s="147" customFormat="1" ht="15" x14ac:dyDescent="0.25">
      <c r="A367" s="59"/>
      <c r="B367" s="98"/>
      <c r="C367" s="102" t="s">
        <v>63</v>
      </c>
      <c r="D367" s="102"/>
      <c r="E367" s="102"/>
      <c r="F367" s="102"/>
      <c r="G367" s="102"/>
      <c r="H367" s="41"/>
      <c r="I367" s="42"/>
      <c r="J367" s="42"/>
      <c r="K367" s="42"/>
      <c r="L367" s="45"/>
      <c r="M367" s="42"/>
      <c r="N367" s="45"/>
      <c r="O367" s="42"/>
      <c r="P367" s="50">
        <v>542.54699999999991</v>
      </c>
      <c r="Q367" s="82"/>
      <c r="R367" s="82"/>
      <c r="S367" s="82"/>
      <c r="T367" s="82"/>
      <c r="U367" s="167"/>
      <c r="V367" s="82"/>
      <c r="W367" s="171"/>
      <c r="X367" s="82"/>
      <c r="Y367" s="82"/>
      <c r="Z367" s="82"/>
      <c r="AA367" s="82"/>
      <c r="AB367" s="145"/>
      <c r="AC367" s="145"/>
      <c r="AD367" s="145"/>
      <c r="AE367" s="145"/>
      <c r="AF367" s="145"/>
      <c r="AG367" s="145"/>
      <c r="AH367" s="145"/>
      <c r="AI367" s="145"/>
      <c r="AJ367" s="145"/>
      <c r="AK367" s="145"/>
      <c r="AL367" s="145"/>
      <c r="AM367" s="145"/>
      <c r="AN367" s="145"/>
      <c r="AO367" s="145"/>
      <c r="AP367" s="145"/>
      <c r="AQ367" s="145"/>
      <c r="AR367" s="145"/>
      <c r="AS367" s="145"/>
      <c r="AT367" s="145"/>
      <c r="AU367" s="145"/>
      <c r="AV367" s="146"/>
      <c r="AW367" s="146"/>
      <c r="AX367" s="146"/>
      <c r="AY367" s="146"/>
      <c r="AZ367" s="145"/>
      <c r="BA367" s="146"/>
      <c r="BB367" s="145"/>
      <c r="BC367" s="145"/>
      <c r="BD367" s="145"/>
      <c r="BE367" s="145"/>
      <c r="BF367" s="145"/>
      <c r="BG367" s="145"/>
      <c r="BH367" s="145"/>
      <c r="BI367" s="145"/>
      <c r="BJ367" s="145"/>
      <c r="BK367" s="145"/>
    </row>
    <row r="368" spans="1:63" s="147" customFormat="1" ht="15" x14ac:dyDescent="0.25">
      <c r="A368" s="39" t="s">
        <v>606</v>
      </c>
      <c r="B368" s="97" t="s">
        <v>140</v>
      </c>
      <c r="C368" s="103" t="s">
        <v>141</v>
      </c>
      <c r="D368" s="103"/>
      <c r="E368" s="103"/>
      <c r="F368" s="103"/>
      <c r="G368" s="103"/>
      <c r="H368" s="41" t="s">
        <v>55</v>
      </c>
      <c r="I368" s="42">
        <v>0.23430000000000001</v>
      </c>
      <c r="J368" s="43">
        <v>1</v>
      </c>
      <c r="K368" s="44">
        <v>0.23430000000000001</v>
      </c>
      <c r="L368" s="140"/>
      <c r="M368" s="42"/>
      <c r="N368" s="45"/>
      <c r="O368" s="42"/>
      <c r="P368" s="50">
        <v>0</v>
      </c>
      <c r="Q368" s="82"/>
      <c r="R368" s="82"/>
      <c r="S368" s="82"/>
      <c r="T368" s="82"/>
      <c r="U368" s="153"/>
      <c r="V368" s="82"/>
      <c r="W368" s="151"/>
      <c r="X368" s="82"/>
      <c r="Y368" s="82"/>
      <c r="Z368" s="82"/>
      <c r="AA368" s="82"/>
      <c r="AB368" s="145"/>
      <c r="AC368" s="145"/>
      <c r="AD368" s="145"/>
      <c r="AE368" s="145"/>
      <c r="AF368" s="145"/>
      <c r="AG368" s="145"/>
      <c r="AH368" s="145"/>
      <c r="AI368" s="145"/>
      <c r="AJ368" s="145"/>
      <c r="AK368" s="145"/>
      <c r="AL368" s="145"/>
      <c r="AM368" s="145"/>
      <c r="AN368" s="145"/>
      <c r="AO368" s="145"/>
      <c r="AP368" s="145"/>
      <c r="AQ368" s="145"/>
      <c r="AR368" s="145"/>
      <c r="AS368" s="145"/>
      <c r="AT368" s="145"/>
      <c r="AU368" s="145"/>
      <c r="AV368" s="146"/>
      <c r="AW368" s="146"/>
      <c r="AX368" s="146"/>
      <c r="AY368" s="146"/>
      <c r="AZ368" s="145"/>
      <c r="BA368" s="146"/>
      <c r="BB368" s="145"/>
      <c r="BC368" s="145"/>
      <c r="BD368" s="145"/>
      <c r="BE368" s="145"/>
      <c r="BF368" s="145"/>
      <c r="BG368" s="145"/>
      <c r="BH368" s="145"/>
      <c r="BI368" s="145"/>
      <c r="BJ368" s="145"/>
      <c r="BK368" s="145"/>
    </row>
    <row r="369" spans="1:63" s="147" customFormat="1" ht="15" x14ac:dyDescent="0.25">
      <c r="A369" s="47"/>
      <c r="B369" s="48"/>
      <c r="C369" s="102" t="s">
        <v>56</v>
      </c>
      <c r="D369" s="102"/>
      <c r="E369" s="102"/>
      <c r="F369" s="102"/>
      <c r="G369" s="102"/>
      <c r="H369" s="41"/>
      <c r="I369" s="42"/>
      <c r="J369" s="42"/>
      <c r="K369" s="42"/>
      <c r="L369" s="45"/>
      <c r="M369" s="42"/>
      <c r="N369" s="49"/>
      <c r="O369" s="42"/>
      <c r="P369" s="50">
        <v>39354.218999999997</v>
      </c>
      <c r="Q369" s="157"/>
      <c r="R369" s="157"/>
      <c r="S369" s="82"/>
      <c r="T369" s="82"/>
      <c r="U369" s="156"/>
      <c r="V369" s="82"/>
      <c r="W369" s="168"/>
      <c r="X369" s="82"/>
      <c r="Y369" s="82"/>
      <c r="Z369" s="82"/>
      <c r="AA369" s="82"/>
      <c r="AB369" s="145"/>
      <c r="AC369" s="145"/>
      <c r="AD369" s="145"/>
      <c r="AE369" s="145"/>
      <c r="AF369" s="145"/>
      <c r="AG369" s="145"/>
      <c r="AH369" s="145"/>
      <c r="AI369" s="145"/>
      <c r="AJ369" s="145"/>
      <c r="AK369" s="145"/>
      <c r="AL369" s="145"/>
      <c r="AM369" s="145"/>
      <c r="AN369" s="145"/>
      <c r="AO369" s="145"/>
      <c r="AP369" s="145"/>
      <c r="AQ369" s="145"/>
      <c r="AR369" s="145"/>
      <c r="AS369" s="145"/>
      <c r="AT369" s="145"/>
      <c r="AU369" s="145"/>
      <c r="AV369" s="146"/>
      <c r="AW369" s="146"/>
      <c r="AX369" s="146"/>
      <c r="AY369" s="146"/>
      <c r="AZ369" s="145"/>
      <c r="BA369" s="146"/>
      <c r="BB369" s="145"/>
      <c r="BC369" s="145"/>
      <c r="BD369" s="145"/>
      <c r="BE369" s="145"/>
      <c r="BF369" s="145"/>
      <c r="BG369" s="145"/>
      <c r="BH369" s="145"/>
      <c r="BI369" s="145"/>
      <c r="BJ369" s="145"/>
      <c r="BK369" s="145"/>
    </row>
    <row r="370" spans="1:63" s="147" customFormat="1" ht="15" x14ac:dyDescent="0.25">
      <c r="A370" s="52"/>
      <c r="B370" s="53"/>
      <c r="C370" s="104" t="s">
        <v>57</v>
      </c>
      <c r="D370" s="104"/>
      <c r="E370" s="104"/>
      <c r="F370" s="104"/>
      <c r="G370" s="104"/>
      <c r="H370" s="54"/>
      <c r="I370" s="55"/>
      <c r="J370" s="55"/>
      <c r="K370" s="55"/>
      <c r="L370" s="56"/>
      <c r="M370" s="55"/>
      <c r="N370" s="56"/>
      <c r="O370" s="55"/>
      <c r="P370" s="77">
        <v>35608.898999999998</v>
      </c>
      <c r="Q370" s="82"/>
      <c r="R370" s="82"/>
      <c r="S370" s="82"/>
      <c r="T370" s="82"/>
      <c r="U370" s="163"/>
      <c r="V370" s="82"/>
      <c r="W370" s="151"/>
      <c r="X370" s="82"/>
      <c r="Y370" s="82"/>
      <c r="Z370" s="82"/>
      <c r="AA370" s="82"/>
      <c r="AB370" s="145"/>
      <c r="AC370" s="145"/>
      <c r="AD370" s="145"/>
      <c r="AE370" s="145"/>
      <c r="AF370" s="145"/>
      <c r="AG370" s="145"/>
      <c r="AH370" s="145"/>
      <c r="AI370" s="145"/>
      <c r="AJ370" s="145"/>
      <c r="AK370" s="145"/>
      <c r="AL370" s="145"/>
      <c r="AM370" s="145"/>
      <c r="AN370" s="145"/>
      <c r="AO370" s="145"/>
      <c r="AP370" s="145"/>
      <c r="AQ370" s="145"/>
      <c r="AR370" s="145"/>
      <c r="AS370" s="145"/>
      <c r="AT370" s="145"/>
      <c r="AU370" s="145"/>
      <c r="AV370" s="146"/>
      <c r="AW370" s="146"/>
      <c r="AX370" s="146"/>
      <c r="AY370" s="146"/>
      <c r="AZ370" s="145"/>
      <c r="BA370" s="146"/>
      <c r="BB370" s="145"/>
      <c r="BC370" s="145"/>
      <c r="BD370" s="145"/>
      <c r="BE370" s="145"/>
      <c r="BF370" s="145"/>
      <c r="BG370" s="145"/>
      <c r="BH370" s="145"/>
      <c r="BI370" s="145"/>
      <c r="BJ370" s="145"/>
      <c r="BK370" s="145"/>
    </row>
    <row r="371" spans="1:63" s="147" customFormat="1" ht="15" x14ac:dyDescent="0.25">
      <c r="A371" s="52"/>
      <c r="B371" s="53" t="s">
        <v>58</v>
      </c>
      <c r="C371" s="104" t="s">
        <v>59</v>
      </c>
      <c r="D371" s="104"/>
      <c r="E371" s="104"/>
      <c r="F371" s="104"/>
      <c r="G371" s="104"/>
      <c r="H371" s="54" t="s">
        <v>60</v>
      </c>
      <c r="I371" s="58">
        <v>100</v>
      </c>
      <c r="J371" s="55"/>
      <c r="K371" s="58">
        <v>100</v>
      </c>
      <c r="L371" s="56"/>
      <c r="M371" s="55"/>
      <c r="N371" s="56"/>
      <c r="O371" s="55"/>
      <c r="P371" s="77">
        <v>35608.898999999998</v>
      </c>
      <c r="Q371" s="82"/>
      <c r="R371" s="82"/>
      <c r="S371" s="82"/>
      <c r="T371" s="82"/>
      <c r="U371" s="163"/>
      <c r="V371" s="82"/>
      <c r="W371" s="160"/>
      <c r="X371" s="82"/>
      <c r="Y371" s="82"/>
      <c r="Z371" s="82"/>
      <c r="AA371" s="82"/>
      <c r="AB371" s="145"/>
      <c r="AC371" s="145"/>
      <c r="AD371" s="145"/>
      <c r="AE371" s="145"/>
      <c r="AF371" s="145"/>
      <c r="AG371" s="145"/>
      <c r="AH371" s="145"/>
      <c r="AI371" s="145"/>
      <c r="AJ371" s="145"/>
      <c r="AK371" s="145"/>
      <c r="AL371" s="145"/>
      <c r="AM371" s="145"/>
      <c r="AN371" s="145"/>
      <c r="AO371" s="145"/>
      <c r="AP371" s="145"/>
      <c r="AQ371" s="145"/>
      <c r="AR371" s="145"/>
      <c r="AS371" s="145"/>
      <c r="AT371" s="145"/>
      <c r="AU371" s="145"/>
      <c r="AV371" s="146"/>
      <c r="AW371" s="146"/>
      <c r="AX371" s="146"/>
      <c r="AY371" s="146"/>
      <c r="AZ371" s="145"/>
      <c r="BA371" s="146"/>
      <c r="BB371" s="145"/>
      <c r="BC371" s="145"/>
      <c r="BD371" s="145"/>
      <c r="BE371" s="145"/>
      <c r="BF371" s="145"/>
      <c r="BG371" s="145"/>
      <c r="BH371" s="145"/>
      <c r="BI371" s="145"/>
      <c r="BJ371" s="145"/>
      <c r="BK371" s="145"/>
    </row>
    <row r="372" spans="1:63" s="147" customFormat="1" ht="15" x14ac:dyDescent="0.25">
      <c r="A372" s="52"/>
      <c r="B372" s="53" t="s">
        <v>61</v>
      </c>
      <c r="C372" s="104" t="s">
        <v>62</v>
      </c>
      <c r="D372" s="104"/>
      <c r="E372" s="104"/>
      <c r="F372" s="104"/>
      <c r="G372" s="104"/>
      <c r="H372" s="54" t="s">
        <v>60</v>
      </c>
      <c r="I372" s="58">
        <v>49</v>
      </c>
      <c r="J372" s="55"/>
      <c r="K372" s="58">
        <v>49</v>
      </c>
      <c r="L372" s="56"/>
      <c r="M372" s="55"/>
      <c r="N372" s="56"/>
      <c r="O372" s="55"/>
      <c r="P372" s="77">
        <v>17448.363499999999</v>
      </c>
      <c r="Q372" s="82"/>
      <c r="R372" s="82"/>
      <c r="S372" s="82"/>
      <c r="T372" s="82"/>
      <c r="U372" s="163"/>
      <c r="V372" s="82"/>
      <c r="W372" s="164"/>
      <c r="X372" s="82"/>
      <c r="Y372" s="82"/>
      <c r="Z372" s="82"/>
      <c r="AA372" s="82"/>
      <c r="AB372" s="145"/>
      <c r="AC372" s="145"/>
      <c r="AD372" s="145"/>
      <c r="AE372" s="145"/>
      <c r="AF372" s="145"/>
      <c r="AG372" s="145"/>
      <c r="AH372" s="145"/>
      <c r="AI372" s="145"/>
      <c r="AJ372" s="145"/>
      <c r="AK372" s="145"/>
      <c r="AL372" s="145"/>
      <c r="AM372" s="145"/>
      <c r="AN372" s="145"/>
      <c r="AO372" s="145"/>
      <c r="AP372" s="145"/>
      <c r="AQ372" s="145"/>
      <c r="AR372" s="145"/>
      <c r="AS372" s="145"/>
      <c r="AT372" s="145"/>
      <c r="AU372" s="145"/>
      <c r="AV372" s="146"/>
      <c r="AW372" s="146"/>
      <c r="AX372" s="146"/>
      <c r="AY372" s="146"/>
      <c r="AZ372" s="145"/>
      <c r="BA372" s="146"/>
      <c r="BB372" s="145"/>
      <c r="BC372" s="145"/>
      <c r="BD372" s="145"/>
      <c r="BE372" s="145"/>
      <c r="BF372" s="145"/>
      <c r="BG372" s="145"/>
      <c r="BH372" s="145"/>
      <c r="BI372" s="145"/>
      <c r="BJ372" s="145"/>
      <c r="BK372" s="145"/>
    </row>
    <row r="373" spans="1:63" s="147" customFormat="1" ht="15" x14ac:dyDescent="0.25">
      <c r="A373" s="59"/>
      <c r="B373" s="98"/>
      <c r="C373" s="102" t="s">
        <v>63</v>
      </c>
      <c r="D373" s="102"/>
      <c r="E373" s="102"/>
      <c r="F373" s="102"/>
      <c r="G373" s="102"/>
      <c r="H373" s="41"/>
      <c r="I373" s="42"/>
      <c r="J373" s="42"/>
      <c r="K373" s="42"/>
      <c r="L373" s="45"/>
      <c r="M373" s="42"/>
      <c r="N373" s="49">
        <v>206045.67</v>
      </c>
      <c r="O373" s="42"/>
      <c r="P373" s="50">
        <v>55517.974654999991</v>
      </c>
      <c r="Q373" s="82"/>
      <c r="R373" s="82"/>
      <c r="S373" s="82"/>
      <c r="T373" s="82"/>
      <c r="U373" s="156"/>
      <c r="V373" s="82"/>
      <c r="W373" s="164"/>
      <c r="X373" s="82"/>
      <c r="Y373" s="82"/>
      <c r="Z373" s="82"/>
      <c r="AA373" s="82"/>
      <c r="AB373" s="145"/>
      <c r="AC373" s="145"/>
      <c r="AD373" s="145"/>
      <c r="AE373" s="145"/>
      <c r="AF373" s="145"/>
      <c r="AG373" s="145"/>
      <c r="AH373" s="145"/>
      <c r="AI373" s="145"/>
      <c r="AJ373" s="145"/>
      <c r="AK373" s="145"/>
      <c r="AL373" s="145"/>
      <c r="AM373" s="145"/>
      <c r="AN373" s="145"/>
      <c r="AO373" s="145"/>
      <c r="AP373" s="145"/>
      <c r="AQ373" s="145"/>
      <c r="AR373" s="145"/>
      <c r="AS373" s="145"/>
      <c r="AT373" s="145"/>
      <c r="AU373" s="145"/>
      <c r="AV373" s="146"/>
      <c r="AW373" s="146"/>
      <c r="AX373" s="146"/>
      <c r="AY373" s="146"/>
      <c r="AZ373" s="145"/>
      <c r="BA373" s="146"/>
      <c r="BB373" s="145"/>
      <c r="BC373" s="145"/>
      <c r="BD373" s="145"/>
      <c r="BE373" s="145"/>
      <c r="BF373" s="145"/>
      <c r="BG373" s="145"/>
      <c r="BH373" s="145"/>
      <c r="BI373" s="145"/>
      <c r="BJ373" s="145"/>
      <c r="BK373" s="145"/>
    </row>
    <row r="374" spans="1:63" s="147" customFormat="1" ht="15" x14ac:dyDescent="0.25">
      <c r="A374" s="39" t="s">
        <v>607</v>
      </c>
      <c r="B374" s="97" t="s">
        <v>143</v>
      </c>
      <c r="C374" s="103" t="s">
        <v>144</v>
      </c>
      <c r="D374" s="103"/>
      <c r="E374" s="103"/>
      <c r="F374" s="103"/>
      <c r="G374" s="103"/>
      <c r="H374" s="41" t="s">
        <v>105</v>
      </c>
      <c r="I374" s="42">
        <v>23.9</v>
      </c>
      <c r="J374" s="43">
        <v>1</v>
      </c>
      <c r="K374" s="67">
        <v>23.9</v>
      </c>
      <c r="L374" s="61">
        <v>498.7</v>
      </c>
      <c r="M374" s="62">
        <v>1.22</v>
      </c>
      <c r="N374" s="61">
        <v>608.41</v>
      </c>
      <c r="O374" s="42"/>
      <c r="P374" s="50">
        <v>34872.975038412289</v>
      </c>
      <c r="Q374" s="82"/>
      <c r="R374" s="82"/>
      <c r="S374" s="82"/>
      <c r="T374" s="82"/>
      <c r="U374" s="156"/>
      <c r="V374" s="82"/>
      <c r="W374" s="151"/>
      <c r="X374" s="82"/>
      <c r="Y374" s="82"/>
      <c r="Z374" s="82"/>
      <c r="AA374" s="82"/>
      <c r="AB374" s="145"/>
      <c r="AC374" s="145"/>
      <c r="AD374" s="145"/>
      <c r="AE374" s="145"/>
      <c r="AF374" s="145"/>
      <c r="AG374" s="145"/>
      <c r="AH374" s="145"/>
      <c r="AI374" s="145"/>
      <c r="AJ374" s="145"/>
      <c r="AK374" s="145"/>
      <c r="AL374" s="145"/>
      <c r="AM374" s="145"/>
      <c r="AN374" s="145"/>
      <c r="AO374" s="145"/>
      <c r="AP374" s="145"/>
      <c r="AQ374" s="145"/>
      <c r="AR374" s="145"/>
      <c r="AS374" s="145"/>
      <c r="AT374" s="145"/>
      <c r="AU374" s="145"/>
      <c r="AV374" s="146"/>
      <c r="AW374" s="146"/>
      <c r="AX374" s="146"/>
      <c r="AY374" s="146"/>
      <c r="AZ374" s="145"/>
      <c r="BA374" s="146"/>
      <c r="BB374" s="145"/>
      <c r="BC374" s="145"/>
      <c r="BD374" s="145"/>
      <c r="BE374" s="145"/>
      <c r="BF374" s="145"/>
      <c r="BG374" s="145"/>
      <c r="BH374" s="145"/>
      <c r="BI374" s="145"/>
      <c r="BJ374" s="145"/>
      <c r="BK374" s="145"/>
    </row>
    <row r="375" spans="1:63" s="147" customFormat="1" ht="15" x14ac:dyDescent="0.25">
      <c r="A375" s="59"/>
      <c r="B375" s="98"/>
      <c r="C375" s="102" t="s">
        <v>63</v>
      </c>
      <c r="D375" s="102"/>
      <c r="E375" s="102"/>
      <c r="F375" s="102"/>
      <c r="G375" s="102"/>
      <c r="H375" s="41"/>
      <c r="I375" s="42"/>
      <c r="J375" s="42"/>
      <c r="K375" s="42"/>
      <c r="L375" s="45"/>
      <c r="M375" s="42"/>
      <c r="N375" s="45"/>
      <c r="O375" s="42"/>
      <c r="P375" s="50">
        <v>34872.975038412289</v>
      </c>
      <c r="Q375" s="82"/>
      <c r="R375" s="82"/>
      <c r="S375" s="82"/>
      <c r="T375" s="82"/>
      <c r="U375" s="156"/>
      <c r="V375" s="82"/>
      <c r="W375" s="152"/>
      <c r="X375" s="82"/>
      <c r="Y375" s="82"/>
      <c r="Z375" s="82"/>
      <c r="AA375" s="82"/>
      <c r="AB375" s="145"/>
      <c r="AC375" s="145"/>
      <c r="AD375" s="145"/>
      <c r="AE375" s="145"/>
      <c r="AF375" s="145"/>
      <c r="AG375" s="145"/>
      <c r="AH375" s="145"/>
      <c r="AI375" s="145"/>
      <c r="AJ375" s="145"/>
      <c r="AK375" s="145"/>
      <c r="AL375" s="145"/>
      <c r="AM375" s="145"/>
      <c r="AN375" s="145"/>
      <c r="AO375" s="145"/>
      <c r="AP375" s="145"/>
      <c r="AQ375" s="145"/>
      <c r="AR375" s="145"/>
      <c r="AS375" s="145"/>
      <c r="AT375" s="145"/>
      <c r="AU375" s="145"/>
      <c r="AV375" s="146"/>
      <c r="AW375" s="146"/>
      <c r="AX375" s="146"/>
      <c r="AY375" s="146"/>
      <c r="AZ375" s="145"/>
      <c r="BA375" s="146"/>
      <c r="BB375" s="145"/>
      <c r="BC375" s="145"/>
      <c r="BD375" s="145"/>
      <c r="BE375" s="145"/>
      <c r="BF375" s="145"/>
      <c r="BG375" s="145"/>
      <c r="BH375" s="145"/>
      <c r="BI375" s="145"/>
      <c r="BJ375" s="145"/>
      <c r="BK375" s="145"/>
    </row>
    <row r="376" spans="1:63" s="147" customFormat="1" ht="15" x14ac:dyDescent="0.25">
      <c r="A376" s="107" t="s">
        <v>145</v>
      </c>
      <c r="B376" s="108"/>
      <c r="C376" s="108"/>
      <c r="D376" s="108"/>
      <c r="E376" s="108"/>
      <c r="F376" s="108"/>
      <c r="G376" s="108"/>
      <c r="H376" s="108"/>
      <c r="I376" s="108"/>
      <c r="J376" s="108"/>
      <c r="K376" s="108"/>
      <c r="L376" s="108"/>
      <c r="M376" s="108"/>
      <c r="N376" s="108"/>
      <c r="O376" s="108"/>
      <c r="P376" s="109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145"/>
      <c r="AC376" s="145"/>
      <c r="AD376" s="145"/>
      <c r="AE376" s="145"/>
      <c r="AF376" s="145"/>
      <c r="AG376" s="145"/>
      <c r="AH376" s="145"/>
      <c r="AI376" s="145"/>
      <c r="AJ376" s="145"/>
      <c r="AK376" s="145"/>
      <c r="AL376" s="145"/>
      <c r="AM376" s="145"/>
      <c r="AN376" s="145"/>
      <c r="AO376" s="145"/>
      <c r="AP376" s="145"/>
      <c r="AQ376" s="145"/>
      <c r="AR376" s="145"/>
      <c r="AS376" s="145"/>
      <c r="AT376" s="145"/>
      <c r="AU376" s="145"/>
      <c r="AV376" s="146"/>
      <c r="AW376" s="146"/>
      <c r="AX376" s="146"/>
      <c r="AY376" s="146"/>
      <c r="AZ376" s="145"/>
      <c r="BA376" s="146"/>
      <c r="BB376" s="145"/>
      <c r="BC376" s="145"/>
      <c r="BD376" s="145"/>
      <c r="BE376" s="145"/>
      <c r="BF376" s="145"/>
      <c r="BG376" s="145"/>
      <c r="BH376" s="145"/>
      <c r="BI376" s="145"/>
      <c r="BJ376" s="145"/>
      <c r="BK376" s="145"/>
    </row>
    <row r="377" spans="1:63" s="147" customFormat="1" ht="15" x14ac:dyDescent="0.25">
      <c r="A377" s="39" t="s">
        <v>353</v>
      </c>
      <c r="B377" s="97" t="s">
        <v>147</v>
      </c>
      <c r="C377" s="103" t="s">
        <v>148</v>
      </c>
      <c r="D377" s="103"/>
      <c r="E377" s="103"/>
      <c r="F377" s="103"/>
      <c r="G377" s="103"/>
      <c r="H377" s="41" t="s">
        <v>55</v>
      </c>
      <c r="I377" s="42">
        <v>1.6500000000000001E-2</v>
      </c>
      <c r="J377" s="43">
        <v>1</v>
      </c>
      <c r="K377" s="69">
        <v>1.6500000000000001E-2</v>
      </c>
      <c r="L377" s="45"/>
      <c r="M377" s="42"/>
      <c r="N377" s="45"/>
      <c r="O377" s="42"/>
      <c r="P377" s="46"/>
      <c r="Q377" s="82"/>
      <c r="R377" s="82"/>
      <c r="S377" s="82"/>
      <c r="T377" s="82"/>
      <c r="U377" s="82"/>
      <c r="V377" s="82"/>
      <c r="W377" s="178"/>
      <c r="X377" s="82"/>
      <c r="Y377" s="82"/>
      <c r="Z377" s="82"/>
      <c r="AA377" s="82"/>
      <c r="AB377" s="145"/>
      <c r="AC377" s="145"/>
      <c r="AD377" s="145"/>
      <c r="AE377" s="145"/>
      <c r="AF377" s="145"/>
      <c r="AG377" s="145"/>
      <c r="AH377" s="145"/>
      <c r="AI377" s="145"/>
      <c r="AJ377" s="145"/>
      <c r="AK377" s="145"/>
      <c r="AL377" s="145"/>
      <c r="AM377" s="145"/>
      <c r="AN377" s="145"/>
      <c r="AO377" s="145"/>
      <c r="AP377" s="145"/>
      <c r="AQ377" s="145"/>
      <c r="AR377" s="145"/>
      <c r="AS377" s="145"/>
      <c r="AT377" s="145"/>
      <c r="AU377" s="145"/>
      <c r="AV377" s="146"/>
      <c r="AW377" s="146"/>
      <c r="AX377" s="146"/>
      <c r="AY377" s="146"/>
      <c r="AZ377" s="145"/>
      <c r="BA377" s="146"/>
      <c r="BB377" s="145"/>
      <c r="BC377" s="145"/>
      <c r="BD377" s="145"/>
      <c r="BE377" s="145"/>
      <c r="BF377" s="145"/>
      <c r="BG377" s="145"/>
      <c r="BH377" s="145"/>
      <c r="BI377" s="145"/>
      <c r="BJ377" s="145"/>
      <c r="BK377" s="145"/>
    </row>
    <row r="378" spans="1:63" s="147" customFormat="1" ht="15" x14ac:dyDescent="0.25">
      <c r="A378" s="47"/>
      <c r="B378" s="48"/>
      <c r="C378" s="102" t="s">
        <v>56</v>
      </c>
      <c r="D378" s="102"/>
      <c r="E378" s="102"/>
      <c r="F378" s="102"/>
      <c r="G378" s="102"/>
      <c r="H378" s="41"/>
      <c r="I378" s="42"/>
      <c r="J378" s="42"/>
      <c r="K378" s="42"/>
      <c r="L378" s="45"/>
      <c r="M378" s="42"/>
      <c r="N378" s="49"/>
      <c r="O378" s="42"/>
      <c r="P378" s="50">
        <v>1189.0539999999999</v>
      </c>
      <c r="Q378" s="157"/>
      <c r="R378" s="157"/>
      <c r="S378" s="82"/>
      <c r="T378" s="82"/>
      <c r="U378" s="156"/>
      <c r="V378" s="82"/>
      <c r="W378" s="151"/>
      <c r="X378" s="82"/>
      <c r="Y378" s="82"/>
      <c r="Z378" s="82"/>
      <c r="AA378" s="82"/>
      <c r="AB378" s="145"/>
      <c r="AC378" s="145"/>
      <c r="AD378" s="145"/>
      <c r="AE378" s="145"/>
      <c r="AF378" s="145"/>
      <c r="AG378" s="145"/>
      <c r="AH378" s="145"/>
      <c r="AI378" s="145"/>
      <c r="AJ378" s="145"/>
      <c r="AK378" s="145"/>
      <c r="AL378" s="145"/>
      <c r="AM378" s="145"/>
      <c r="AN378" s="145"/>
      <c r="AO378" s="145"/>
      <c r="AP378" s="145"/>
      <c r="AQ378" s="145"/>
      <c r="AR378" s="145"/>
      <c r="AS378" s="145"/>
      <c r="AT378" s="145"/>
      <c r="AU378" s="145"/>
      <c r="AV378" s="146"/>
      <c r="AW378" s="146"/>
      <c r="AX378" s="146"/>
      <c r="AY378" s="146"/>
      <c r="AZ378" s="145"/>
      <c r="BA378" s="146"/>
      <c r="BB378" s="145"/>
      <c r="BC378" s="145"/>
      <c r="BD378" s="145"/>
      <c r="BE378" s="145"/>
      <c r="BF378" s="145"/>
      <c r="BG378" s="145"/>
      <c r="BH378" s="145"/>
      <c r="BI378" s="145"/>
      <c r="BJ378" s="145"/>
      <c r="BK378" s="145"/>
    </row>
    <row r="379" spans="1:63" s="147" customFormat="1" ht="15" x14ac:dyDescent="0.25">
      <c r="A379" s="52"/>
      <c r="B379" s="53"/>
      <c r="C379" s="104" t="s">
        <v>57</v>
      </c>
      <c r="D379" s="104"/>
      <c r="E379" s="104"/>
      <c r="F379" s="104"/>
      <c r="G379" s="104"/>
      <c r="H379" s="54"/>
      <c r="I379" s="55"/>
      <c r="J379" s="55"/>
      <c r="K379" s="55"/>
      <c r="L379" s="56"/>
      <c r="M379" s="55"/>
      <c r="N379" s="56"/>
      <c r="O379" s="55"/>
      <c r="P379" s="77">
        <v>1176.5994999999998</v>
      </c>
      <c r="Q379" s="82"/>
      <c r="R379" s="82"/>
      <c r="S379" s="82"/>
      <c r="T379" s="82"/>
      <c r="U379" s="163"/>
      <c r="V379" s="82"/>
      <c r="W379" s="160"/>
      <c r="X379" s="82"/>
      <c r="Y379" s="82"/>
      <c r="Z379" s="82"/>
      <c r="AA379" s="82"/>
      <c r="AB379" s="145"/>
      <c r="AC379" s="145"/>
      <c r="AD379" s="145"/>
      <c r="AE379" s="145"/>
      <c r="AF379" s="145"/>
      <c r="AG379" s="145"/>
      <c r="AH379" s="145"/>
      <c r="AI379" s="145"/>
      <c r="AJ379" s="145"/>
      <c r="AK379" s="145"/>
      <c r="AL379" s="145"/>
      <c r="AM379" s="145"/>
      <c r="AN379" s="145"/>
      <c r="AO379" s="145"/>
      <c r="AP379" s="145"/>
      <c r="AQ379" s="145"/>
      <c r="AR379" s="145"/>
      <c r="AS379" s="145"/>
      <c r="AT379" s="145"/>
      <c r="AU379" s="145"/>
      <c r="AV379" s="146"/>
      <c r="AW379" s="146"/>
      <c r="AX379" s="146"/>
      <c r="AY379" s="146"/>
      <c r="AZ379" s="145"/>
      <c r="BA379" s="146"/>
      <c r="BB379" s="145"/>
      <c r="BC379" s="145"/>
      <c r="BD379" s="145"/>
      <c r="BE379" s="145"/>
      <c r="BF379" s="145"/>
      <c r="BG379" s="145"/>
      <c r="BH379" s="145"/>
      <c r="BI379" s="145"/>
      <c r="BJ379" s="145"/>
      <c r="BK379" s="145"/>
    </row>
    <row r="380" spans="1:63" s="147" customFormat="1" ht="15" x14ac:dyDescent="0.25">
      <c r="A380" s="52"/>
      <c r="B380" s="53" t="s">
        <v>149</v>
      </c>
      <c r="C380" s="104" t="s">
        <v>150</v>
      </c>
      <c r="D380" s="104"/>
      <c r="E380" s="104"/>
      <c r="F380" s="104"/>
      <c r="G380" s="104"/>
      <c r="H380" s="54" t="s">
        <v>60</v>
      </c>
      <c r="I380" s="58">
        <v>91</v>
      </c>
      <c r="J380" s="55"/>
      <c r="K380" s="58">
        <v>91</v>
      </c>
      <c r="L380" s="56"/>
      <c r="M380" s="55"/>
      <c r="N380" s="56"/>
      <c r="O380" s="55"/>
      <c r="P380" s="77">
        <v>1070.7074999999998</v>
      </c>
      <c r="Q380" s="82"/>
      <c r="R380" s="82"/>
      <c r="S380" s="82"/>
      <c r="T380" s="82"/>
      <c r="U380" s="170"/>
      <c r="V380" s="82"/>
      <c r="W380" s="164"/>
      <c r="X380" s="82"/>
      <c r="Y380" s="82"/>
      <c r="Z380" s="82"/>
      <c r="AA380" s="82"/>
      <c r="AB380" s="145"/>
      <c r="AC380" s="145"/>
      <c r="AD380" s="145"/>
      <c r="AE380" s="145"/>
      <c r="AF380" s="145"/>
      <c r="AG380" s="145"/>
      <c r="AH380" s="145"/>
      <c r="AI380" s="145"/>
      <c r="AJ380" s="145"/>
      <c r="AK380" s="145"/>
      <c r="AL380" s="145"/>
      <c r="AM380" s="145"/>
      <c r="AN380" s="145"/>
      <c r="AO380" s="145"/>
      <c r="AP380" s="145"/>
      <c r="AQ380" s="145"/>
      <c r="AR380" s="145"/>
      <c r="AS380" s="145"/>
      <c r="AT380" s="145"/>
      <c r="AU380" s="145"/>
      <c r="AV380" s="146"/>
      <c r="AW380" s="146"/>
      <c r="AX380" s="146"/>
      <c r="AY380" s="146"/>
      <c r="AZ380" s="145"/>
      <c r="BA380" s="146"/>
      <c r="BB380" s="145"/>
      <c r="BC380" s="145"/>
      <c r="BD380" s="145"/>
      <c r="BE380" s="145"/>
      <c r="BF380" s="145"/>
      <c r="BG380" s="145"/>
      <c r="BH380" s="145"/>
      <c r="BI380" s="145"/>
      <c r="BJ380" s="145"/>
      <c r="BK380" s="145"/>
    </row>
    <row r="381" spans="1:63" s="147" customFormat="1" ht="15" x14ac:dyDescent="0.25">
      <c r="A381" s="52"/>
      <c r="B381" s="53" t="s">
        <v>151</v>
      </c>
      <c r="C381" s="104" t="s">
        <v>152</v>
      </c>
      <c r="D381" s="104"/>
      <c r="E381" s="104"/>
      <c r="F381" s="104"/>
      <c r="G381" s="104"/>
      <c r="H381" s="54" t="s">
        <v>60</v>
      </c>
      <c r="I381" s="58">
        <v>52</v>
      </c>
      <c r="J381" s="55"/>
      <c r="K381" s="58">
        <v>52</v>
      </c>
      <c r="L381" s="56"/>
      <c r="M381" s="55"/>
      <c r="N381" s="56"/>
      <c r="O381" s="55"/>
      <c r="P381" s="77">
        <v>611.83449999999993</v>
      </c>
      <c r="Q381" s="82"/>
      <c r="R381" s="82"/>
      <c r="S381" s="82"/>
      <c r="T381" s="82"/>
      <c r="U381" s="170"/>
      <c r="V381" s="82"/>
      <c r="W381" s="164"/>
      <c r="X381" s="82"/>
      <c r="Y381" s="82"/>
      <c r="Z381" s="82"/>
      <c r="AA381" s="82"/>
      <c r="AB381" s="145"/>
      <c r="AC381" s="145"/>
      <c r="AD381" s="145"/>
      <c r="AE381" s="145"/>
      <c r="AF381" s="145"/>
      <c r="AG381" s="145"/>
      <c r="AH381" s="145"/>
      <c r="AI381" s="145"/>
      <c r="AJ381" s="145"/>
      <c r="AK381" s="145"/>
      <c r="AL381" s="145"/>
      <c r="AM381" s="145"/>
      <c r="AN381" s="145"/>
      <c r="AO381" s="145"/>
      <c r="AP381" s="145"/>
      <c r="AQ381" s="145"/>
      <c r="AR381" s="145"/>
      <c r="AS381" s="145"/>
      <c r="AT381" s="145"/>
      <c r="AU381" s="145"/>
      <c r="AV381" s="146"/>
      <c r="AW381" s="146"/>
      <c r="AX381" s="146"/>
      <c r="AY381" s="146"/>
      <c r="AZ381" s="145"/>
      <c r="BA381" s="146"/>
      <c r="BB381" s="145"/>
      <c r="BC381" s="145"/>
      <c r="BD381" s="145"/>
      <c r="BE381" s="145"/>
      <c r="BF381" s="145"/>
      <c r="BG381" s="145"/>
      <c r="BH381" s="145"/>
      <c r="BI381" s="145"/>
      <c r="BJ381" s="145"/>
      <c r="BK381" s="145"/>
    </row>
    <row r="382" spans="1:63" s="147" customFormat="1" ht="15" x14ac:dyDescent="0.25">
      <c r="A382" s="59"/>
      <c r="B382" s="98"/>
      <c r="C382" s="102" t="s">
        <v>63</v>
      </c>
      <c r="D382" s="102"/>
      <c r="E382" s="102"/>
      <c r="F382" s="102"/>
      <c r="G382" s="102"/>
      <c r="H382" s="41"/>
      <c r="I382" s="42"/>
      <c r="J382" s="42"/>
      <c r="K382" s="42"/>
      <c r="L382" s="45"/>
      <c r="M382" s="42"/>
      <c r="N382" s="49">
        <v>84588.08</v>
      </c>
      <c r="O382" s="42"/>
      <c r="P382" s="50">
        <v>2871.5959999999995</v>
      </c>
      <c r="Q382" s="82"/>
      <c r="R382" s="82"/>
      <c r="S382" s="82"/>
      <c r="T382" s="82"/>
      <c r="U382" s="156"/>
      <c r="V382" s="82"/>
      <c r="W382" s="151"/>
      <c r="X382" s="82"/>
      <c r="Y382" s="82"/>
      <c r="Z382" s="82"/>
      <c r="AA382" s="82"/>
      <c r="AB382" s="145"/>
      <c r="AC382" s="145"/>
      <c r="AD382" s="145"/>
      <c r="AE382" s="145"/>
      <c r="AF382" s="145"/>
      <c r="AG382" s="145"/>
      <c r="AH382" s="145"/>
      <c r="AI382" s="145"/>
      <c r="AJ382" s="145"/>
      <c r="AK382" s="145"/>
      <c r="AL382" s="145"/>
      <c r="AM382" s="145"/>
      <c r="AN382" s="145"/>
      <c r="AO382" s="145"/>
      <c r="AP382" s="145"/>
      <c r="AQ382" s="145"/>
      <c r="AR382" s="145"/>
      <c r="AS382" s="145"/>
      <c r="AT382" s="145"/>
      <c r="AU382" s="145"/>
      <c r="AV382" s="146"/>
      <c r="AW382" s="146"/>
      <c r="AX382" s="146"/>
      <c r="AY382" s="146"/>
      <c r="AZ382" s="145"/>
      <c r="BA382" s="146"/>
      <c r="BB382" s="145"/>
      <c r="BC382" s="145"/>
      <c r="BD382" s="145"/>
      <c r="BE382" s="145"/>
      <c r="BF382" s="145"/>
      <c r="BG382" s="145"/>
      <c r="BH382" s="145"/>
      <c r="BI382" s="145"/>
      <c r="BJ382" s="145"/>
      <c r="BK382" s="145"/>
    </row>
    <row r="383" spans="1:63" s="147" customFormat="1" ht="15" x14ac:dyDescent="0.25">
      <c r="A383" s="39" t="s">
        <v>337</v>
      </c>
      <c r="B383" s="97" t="s">
        <v>154</v>
      </c>
      <c r="C383" s="103" t="s">
        <v>155</v>
      </c>
      <c r="D383" s="103"/>
      <c r="E383" s="103"/>
      <c r="F383" s="103"/>
      <c r="G383" s="103"/>
      <c r="H383" s="41" t="s">
        <v>55</v>
      </c>
      <c r="I383" s="42">
        <v>1.6500000000000001E-2</v>
      </c>
      <c r="J383" s="43">
        <v>1</v>
      </c>
      <c r="K383" s="69">
        <v>1.6500000000000001E-2</v>
      </c>
      <c r="L383" s="45"/>
      <c r="M383" s="42"/>
      <c r="N383" s="45"/>
      <c r="O383" s="42"/>
      <c r="P383" s="50"/>
      <c r="Q383" s="82"/>
      <c r="R383" s="82"/>
      <c r="S383" s="82"/>
      <c r="T383" s="82"/>
      <c r="U383" s="153"/>
      <c r="V383" s="82"/>
      <c r="W383" s="178"/>
      <c r="X383" s="82"/>
      <c r="Y383" s="82"/>
      <c r="Z383" s="82"/>
      <c r="AA383" s="82"/>
      <c r="AB383" s="145"/>
      <c r="AC383" s="145"/>
      <c r="AD383" s="145"/>
      <c r="AE383" s="145"/>
      <c r="AF383" s="145"/>
      <c r="AG383" s="145"/>
      <c r="AH383" s="145"/>
      <c r="AI383" s="145"/>
      <c r="AJ383" s="145"/>
      <c r="AK383" s="145"/>
      <c r="AL383" s="145"/>
      <c r="AM383" s="145"/>
      <c r="AN383" s="145"/>
      <c r="AO383" s="145"/>
      <c r="AP383" s="145"/>
      <c r="AQ383" s="145"/>
      <c r="AR383" s="145"/>
      <c r="AS383" s="145"/>
      <c r="AT383" s="145"/>
      <c r="AU383" s="145"/>
      <c r="AV383" s="146"/>
      <c r="AW383" s="146"/>
      <c r="AX383" s="146"/>
      <c r="AY383" s="146"/>
      <c r="AZ383" s="145"/>
      <c r="BA383" s="146"/>
      <c r="BB383" s="145"/>
      <c r="BC383" s="145"/>
      <c r="BD383" s="145"/>
      <c r="BE383" s="145"/>
      <c r="BF383" s="145"/>
      <c r="BG383" s="145"/>
      <c r="BH383" s="145"/>
      <c r="BI383" s="145"/>
      <c r="BJ383" s="145"/>
      <c r="BK383" s="145"/>
    </row>
    <row r="384" spans="1:63" s="147" customFormat="1" ht="15" x14ac:dyDescent="0.25">
      <c r="A384" s="47"/>
      <c r="B384" s="48"/>
      <c r="C384" s="102" t="s">
        <v>56</v>
      </c>
      <c r="D384" s="102"/>
      <c r="E384" s="102"/>
      <c r="F384" s="102"/>
      <c r="G384" s="102"/>
      <c r="H384" s="41"/>
      <c r="I384" s="42"/>
      <c r="J384" s="42"/>
      <c r="K384" s="42"/>
      <c r="L384" s="45"/>
      <c r="M384" s="42"/>
      <c r="N384" s="49"/>
      <c r="O384" s="42"/>
      <c r="P384" s="50">
        <v>4647.6214999999993</v>
      </c>
      <c r="Q384" s="157"/>
      <c r="R384" s="157"/>
      <c r="S384" s="82"/>
      <c r="T384" s="82"/>
      <c r="U384" s="156"/>
      <c r="V384" s="82"/>
      <c r="W384" s="151"/>
      <c r="X384" s="82"/>
      <c r="Y384" s="82"/>
      <c r="Z384" s="82"/>
      <c r="AA384" s="82"/>
      <c r="AB384" s="145"/>
      <c r="AC384" s="145"/>
      <c r="AD384" s="145"/>
      <c r="AE384" s="145"/>
      <c r="AF384" s="145"/>
      <c r="AG384" s="145"/>
      <c r="AH384" s="145"/>
      <c r="AI384" s="145"/>
      <c r="AJ384" s="145"/>
      <c r="AK384" s="145"/>
      <c r="AL384" s="145"/>
      <c r="AM384" s="145"/>
      <c r="AN384" s="145"/>
      <c r="AO384" s="145"/>
      <c r="AP384" s="145"/>
      <c r="AQ384" s="145"/>
      <c r="AR384" s="145"/>
      <c r="AS384" s="145"/>
      <c r="AT384" s="145"/>
      <c r="AU384" s="145"/>
      <c r="AV384" s="146"/>
      <c r="AW384" s="146"/>
      <c r="AX384" s="146"/>
      <c r="AY384" s="146"/>
      <c r="AZ384" s="145"/>
      <c r="BA384" s="146"/>
      <c r="BB384" s="145"/>
      <c r="BC384" s="145"/>
      <c r="BD384" s="145"/>
      <c r="BE384" s="145"/>
      <c r="BF384" s="145"/>
      <c r="BG384" s="145"/>
      <c r="BH384" s="145"/>
      <c r="BI384" s="145"/>
      <c r="BJ384" s="145"/>
      <c r="BK384" s="145"/>
    </row>
    <row r="385" spans="1:63" s="147" customFormat="1" ht="15" x14ac:dyDescent="0.25">
      <c r="A385" s="52"/>
      <c r="B385" s="53"/>
      <c r="C385" s="104" t="s">
        <v>57</v>
      </c>
      <c r="D385" s="104"/>
      <c r="E385" s="104"/>
      <c r="F385" s="104"/>
      <c r="G385" s="104"/>
      <c r="H385" s="54"/>
      <c r="I385" s="55"/>
      <c r="J385" s="55"/>
      <c r="K385" s="55"/>
      <c r="L385" s="56"/>
      <c r="M385" s="55"/>
      <c r="N385" s="56"/>
      <c r="O385" s="55"/>
      <c r="P385" s="77">
        <v>2636.3979999999997</v>
      </c>
      <c r="Q385" s="82"/>
      <c r="R385" s="82"/>
      <c r="S385" s="82"/>
      <c r="T385" s="82"/>
      <c r="U385" s="163"/>
      <c r="V385" s="82"/>
      <c r="W385" s="160"/>
      <c r="X385" s="82"/>
      <c r="Y385" s="82"/>
      <c r="Z385" s="82"/>
      <c r="AA385" s="82"/>
      <c r="AB385" s="145"/>
      <c r="AC385" s="145"/>
      <c r="AD385" s="145"/>
      <c r="AE385" s="145"/>
      <c r="AF385" s="145"/>
      <c r="AG385" s="145"/>
      <c r="AH385" s="145"/>
      <c r="AI385" s="145"/>
      <c r="AJ385" s="145"/>
      <c r="AK385" s="145"/>
      <c r="AL385" s="145"/>
      <c r="AM385" s="145"/>
      <c r="AN385" s="145"/>
      <c r="AO385" s="145"/>
      <c r="AP385" s="145"/>
      <c r="AQ385" s="145"/>
      <c r="AR385" s="145"/>
      <c r="AS385" s="145"/>
      <c r="AT385" s="145"/>
      <c r="AU385" s="145"/>
      <c r="AV385" s="146"/>
      <c r="AW385" s="146"/>
      <c r="AX385" s="146"/>
      <c r="AY385" s="146"/>
      <c r="AZ385" s="145"/>
      <c r="BA385" s="146"/>
      <c r="BB385" s="145"/>
      <c r="BC385" s="145"/>
      <c r="BD385" s="145"/>
      <c r="BE385" s="145"/>
      <c r="BF385" s="145"/>
      <c r="BG385" s="145"/>
      <c r="BH385" s="145"/>
      <c r="BI385" s="145"/>
      <c r="BJ385" s="145"/>
      <c r="BK385" s="145"/>
    </row>
    <row r="386" spans="1:63" s="147" customFormat="1" ht="15" x14ac:dyDescent="0.25">
      <c r="A386" s="52"/>
      <c r="B386" s="53" t="s">
        <v>98</v>
      </c>
      <c r="C386" s="104" t="s">
        <v>99</v>
      </c>
      <c r="D386" s="104"/>
      <c r="E386" s="104"/>
      <c r="F386" s="104"/>
      <c r="G386" s="104"/>
      <c r="H386" s="54" t="s">
        <v>60</v>
      </c>
      <c r="I386" s="58">
        <v>108</v>
      </c>
      <c r="J386" s="55"/>
      <c r="K386" s="58">
        <v>108</v>
      </c>
      <c r="L386" s="56"/>
      <c r="M386" s="55"/>
      <c r="N386" s="56"/>
      <c r="O386" s="55"/>
      <c r="P386" s="77">
        <v>2847.308</v>
      </c>
      <c r="Q386" s="82"/>
      <c r="R386" s="82"/>
      <c r="S386" s="82"/>
      <c r="T386" s="82"/>
      <c r="U386" s="163"/>
      <c r="V386" s="82"/>
      <c r="W386" s="164"/>
      <c r="X386" s="82"/>
      <c r="Y386" s="82"/>
      <c r="Z386" s="82"/>
      <c r="AA386" s="82"/>
      <c r="AB386" s="145"/>
      <c r="AC386" s="145"/>
      <c r="AD386" s="145"/>
      <c r="AE386" s="145"/>
      <c r="AF386" s="145"/>
      <c r="AG386" s="145"/>
      <c r="AH386" s="145"/>
      <c r="AI386" s="145"/>
      <c r="AJ386" s="145"/>
      <c r="AK386" s="145"/>
      <c r="AL386" s="145"/>
      <c r="AM386" s="145"/>
      <c r="AN386" s="145"/>
      <c r="AO386" s="145"/>
      <c r="AP386" s="145"/>
      <c r="AQ386" s="145"/>
      <c r="AR386" s="145"/>
      <c r="AS386" s="145"/>
      <c r="AT386" s="145"/>
      <c r="AU386" s="145"/>
      <c r="AV386" s="146"/>
      <c r="AW386" s="146"/>
      <c r="AX386" s="146"/>
      <c r="AY386" s="146"/>
      <c r="AZ386" s="145"/>
      <c r="BA386" s="146"/>
      <c r="BB386" s="145"/>
      <c r="BC386" s="145"/>
      <c r="BD386" s="145"/>
      <c r="BE386" s="145"/>
      <c r="BF386" s="145"/>
      <c r="BG386" s="145"/>
      <c r="BH386" s="145"/>
      <c r="BI386" s="145"/>
      <c r="BJ386" s="145"/>
      <c r="BK386" s="145"/>
    </row>
    <row r="387" spans="1:63" s="147" customFormat="1" ht="15" x14ac:dyDescent="0.25">
      <c r="A387" s="52"/>
      <c r="B387" s="53" t="s">
        <v>100</v>
      </c>
      <c r="C387" s="104" t="s">
        <v>101</v>
      </c>
      <c r="D387" s="104"/>
      <c r="E387" s="104"/>
      <c r="F387" s="104"/>
      <c r="G387" s="104"/>
      <c r="H387" s="54" t="s">
        <v>60</v>
      </c>
      <c r="I387" s="58">
        <v>55</v>
      </c>
      <c r="J387" s="55"/>
      <c r="K387" s="58">
        <v>55</v>
      </c>
      <c r="L387" s="56"/>
      <c r="M387" s="55"/>
      <c r="N387" s="56"/>
      <c r="O387" s="55"/>
      <c r="P387" s="77">
        <v>1450.0235</v>
      </c>
      <c r="Q387" s="82"/>
      <c r="R387" s="82"/>
      <c r="S387" s="82"/>
      <c r="T387" s="82"/>
      <c r="U387" s="163"/>
      <c r="V387" s="82"/>
      <c r="W387" s="164"/>
      <c r="X387" s="82"/>
      <c r="Y387" s="82"/>
      <c r="Z387" s="82"/>
      <c r="AA387" s="82"/>
      <c r="AB387" s="145"/>
      <c r="AC387" s="145"/>
      <c r="AD387" s="145"/>
      <c r="AE387" s="145"/>
      <c r="AF387" s="145"/>
      <c r="AG387" s="145"/>
      <c r="AH387" s="145"/>
      <c r="AI387" s="145"/>
      <c r="AJ387" s="145"/>
      <c r="AK387" s="145"/>
      <c r="AL387" s="145"/>
      <c r="AM387" s="145"/>
      <c r="AN387" s="145"/>
      <c r="AO387" s="145"/>
      <c r="AP387" s="145"/>
      <c r="AQ387" s="145"/>
      <c r="AR387" s="145"/>
      <c r="AS387" s="145"/>
      <c r="AT387" s="145"/>
      <c r="AU387" s="145"/>
      <c r="AV387" s="146"/>
      <c r="AW387" s="146"/>
      <c r="AX387" s="146"/>
      <c r="AY387" s="146"/>
      <c r="AZ387" s="145"/>
      <c r="BA387" s="146"/>
      <c r="BB387" s="145"/>
      <c r="BC387" s="145"/>
      <c r="BD387" s="145"/>
      <c r="BE387" s="145"/>
      <c r="BF387" s="145"/>
      <c r="BG387" s="145"/>
      <c r="BH387" s="145"/>
      <c r="BI387" s="145"/>
      <c r="BJ387" s="145"/>
      <c r="BK387" s="145"/>
    </row>
    <row r="388" spans="1:63" s="147" customFormat="1" ht="15" x14ac:dyDescent="0.25">
      <c r="A388" s="59"/>
      <c r="B388" s="98"/>
      <c r="C388" s="102" t="s">
        <v>63</v>
      </c>
      <c r="D388" s="102"/>
      <c r="E388" s="102"/>
      <c r="F388" s="102"/>
      <c r="G388" s="102"/>
      <c r="H388" s="41"/>
      <c r="I388" s="42"/>
      <c r="J388" s="42"/>
      <c r="K388" s="42"/>
      <c r="L388" s="45"/>
      <c r="M388" s="42"/>
      <c r="N388" s="49">
        <v>263489.84000000003</v>
      </c>
      <c r="O388" s="42"/>
      <c r="P388" s="50">
        <v>8944.9529999999995</v>
      </c>
      <c r="Q388" s="82"/>
      <c r="R388" s="82"/>
      <c r="S388" s="82"/>
      <c r="T388" s="82"/>
      <c r="U388" s="156"/>
      <c r="V388" s="82"/>
      <c r="W388" s="151"/>
      <c r="X388" s="82"/>
      <c r="Y388" s="82"/>
      <c r="Z388" s="82"/>
      <c r="AA388" s="82"/>
      <c r="AB388" s="145"/>
      <c r="AC388" s="145"/>
      <c r="AD388" s="145"/>
      <c r="AE388" s="145"/>
      <c r="AF388" s="145"/>
      <c r="AG388" s="145"/>
      <c r="AH388" s="145"/>
      <c r="AI388" s="145"/>
      <c r="AJ388" s="145"/>
      <c r="AK388" s="145"/>
      <c r="AL388" s="145"/>
      <c r="AM388" s="145"/>
      <c r="AN388" s="145"/>
      <c r="AO388" s="145"/>
      <c r="AP388" s="145"/>
      <c r="AQ388" s="145"/>
      <c r="AR388" s="145"/>
      <c r="AS388" s="145"/>
      <c r="AT388" s="145"/>
      <c r="AU388" s="145"/>
      <c r="AV388" s="146"/>
      <c r="AW388" s="146"/>
      <c r="AX388" s="146"/>
      <c r="AY388" s="146"/>
      <c r="AZ388" s="145"/>
      <c r="BA388" s="146"/>
      <c r="BB388" s="145"/>
      <c r="BC388" s="145"/>
      <c r="BD388" s="145"/>
      <c r="BE388" s="145"/>
      <c r="BF388" s="145"/>
      <c r="BG388" s="145"/>
      <c r="BH388" s="145"/>
      <c r="BI388" s="145"/>
      <c r="BJ388" s="145"/>
      <c r="BK388" s="145"/>
    </row>
    <row r="389" spans="1:63" s="147" customFormat="1" ht="15" x14ac:dyDescent="0.25">
      <c r="A389" s="39" t="s">
        <v>393</v>
      </c>
      <c r="B389" s="97" t="s">
        <v>157</v>
      </c>
      <c r="C389" s="103" t="s">
        <v>158</v>
      </c>
      <c r="D389" s="103"/>
      <c r="E389" s="103"/>
      <c r="F389" s="103"/>
      <c r="G389" s="103"/>
      <c r="H389" s="41" t="s">
        <v>105</v>
      </c>
      <c r="I389" s="42">
        <v>1.65</v>
      </c>
      <c r="J389" s="43">
        <v>1</v>
      </c>
      <c r="K389" s="66">
        <v>1.65</v>
      </c>
      <c r="L389" s="49">
        <v>8723.2999999999993</v>
      </c>
      <c r="M389" s="62">
        <v>1.17</v>
      </c>
      <c r="N389" s="49">
        <v>10206.26</v>
      </c>
      <c r="O389" s="42"/>
      <c r="P389" s="50">
        <v>41577.854399999997</v>
      </c>
      <c r="Q389" s="82"/>
      <c r="R389" s="82"/>
      <c r="S389" s="82"/>
      <c r="T389" s="82"/>
      <c r="U389" s="156"/>
      <c r="V389" s="82"/>
      <c r="W389" s="171"/>
      <c r="X389" s="82"/>
      <c r="Y389" s="82"/>
      <c r="Z389" s="82"/>
      <c r="AA389" s="82"/>
      <c r="AB389" s="145"/>
      <c r="AC389" s="145"/>
      <c r="AD389" s="145"/>
      <c r="AE389" s="145"/>
      <c r="AF389" s="145"/>
      <c r="AG389" s="145"/>
      <c r="AH389" s="145"/>
      <c r="AI389" s="145"/>
      <c r="AJ389" s="145"/>
      <c r="AK389" s="145"/>
      <c r="AL389" s="145"/>
      <c r="AM389" s="145"/>
      <c r="AN389" s="145"/>
      <c r="AO389" s="145"/>
      <c r="AP389" s="145"/>
      <c r="AQ389" s="145"/>
      <c r="AR389" s="145"/>
      <c r="AS389" s="145"/>
      <c r="AT389" s="145"/>
      <c r="AU389" s="145"/>
      <c r="AV389" s="146"/>
      <c r="AW389" s="146"/>
      <c r="AX389" s="146"/>
      <c r="AY389" s="146"/>
      <c r="AZ389" s="145"/>
      <c r="BA389" s="146"/>
      <c r="BB389" s="145"/>
      <c r="BC389" s="145"/>
      <c r="BD389" s="145"/>
      <c r="BE389" s="145"/>
      <c r="BF389" s="145"/>
      <c r="BG389" s="145"/>
      <c r="BH389" s="145"/>
      <c r="BI389" s="145"/>
      <c r="BJ389" s="145"/>
      <c r="BK389" s="145"/>
    </row>
    <row r="390" spans="1:63" s="147" customFormat="1" ht="15" x14ac:dyDescent="0.25">
      <c r="A390" s="59"/>
      <c r="B390" s="98"/>
      <c r="C390" s="102" t="s">
        <v>63</v>
      </c>
      <c r="D390" s="102"/>
      <c r="E390" s="102"/>
      <c r="F390" s="102"/>
      <c r="G390" s="102"/>
      <c r="H390" s="41"/>
      <c r="I390" s="42"/>
      <c r="J390" s="42"/>
      <c r="K390" s="42"/>
      <c r="L390" s="45"/>
      <c r="M390" s="42"/>
      <c r="N390" s="45"/>
      <c r="O390" s="42"/>
      <c r="P390" s="50">
        <v>41577.854399999997</v>
      </c>
      <c r="Q390" s="82"/>
      <c r="R390" s="82"/>
      <c r="S390" s="82"/>
      <c r="T390" s="82"/>
      <c r="U390" s="156"/>
      <c r="V390" s="82"/>
      <c r="X390" s="82"/>
      <c r="Y390" s="82"/>
      <c r="Z390" s="82"/>
      <c r="AA390" s="82"/>
      <c r="AB390" s="145"/>
      <c r="AC390" s="145"/>
      <c r="AD390" s="145"/>
      <c r="AE390" s="145"/>
      <c r="AF390" s="145"/>
      <c r="AG390" s="145"/>
      <c r="AH390" s="145"/>
      <c r="AI390" s="145"/>
      <c r="AJ390" s="145"/>
      <c r="AK390" s="145"/>
      <c r="AL390" s="145"/>
      <c r="AM390" s="145"/>
      <c r="AN390" s="145"/>
      <c r="AO390" s="145"/>
      <c r="AP390" s="145"/>
      <c r="AQ390" s="145"/>
      <c r="AR390" s="145"/>
      <c r="AS390" s="145"/>
      <c r="AT390" s="145"/>
      <c r="AU390" s="145"/>
      <c r="AV390" s="146"/>
      <c r="AW390" s="146"/>
      <c r="AX390" s="146"/>
      <c r="AY390" s="146"/>
      <c r="AZ390" s="145"/>
      <c r="BA390" s="146"/>
      <c r="BB390" s="145"/>
      <c r="BC390" s="145"/>
      <c r="BD390" s="145"/>
      <c r="BE390" s="145"/>
      <c r="BF390" s="145"/>
      <c r="BG390" s="145"/>
      <c r="BH390" s="145"/>
      <c r="BI390" s="145"/>
      <c r="BJ390" s="145"/>
      <c r="BK390" s="145"/>
    </row>
    <row r="391" spans="1:63" s="147" customFormat="1" ht="15" x14ac:dyDescent="0.25">
      <c r="A391" s="107" t="s">
        <v>159</v>
      </c>
      <c r="B391" s="108"/>
      <c r="C391" s="108"/>
      <c r="D391" s="108"/>
      <c r="E391" s="108"/>
      <c r="F391" s="108"/>
      <c r="G391" s="108"/>
      <c r="H391" s="108"/>
      <c r="I391" s="108"/>
      <c r="J391" s="108"/>
      <c r="K391" s="108"/>
      <c r="L391" s="108"/>
      <c r="M391" s="108"/>
      <c r="N391" s="108"/>
      <c r="O391" s="108"/>
      <c r="P391" s="109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145"/>
      <c r="AC391" s="145"/>
      <c r="AD391" s="145"/>
      <c r="AE391" s="145"/>
      <c r="AF391" s="145"/>
      <c r="AG391" s="145"/>
      <c r="AH391" s="145"/>
      <c r="AI391" s="145"/>
      <c r="AJ391" s="145"/>
      <c r="AK391" s="145"/>
      <c r="AL391" s="145"/>
      <c r="AM391" s="145"/>
      <c r="AN391" s="145"/>
      <c r="AO391" s="145"/>
      <c r="AP391" s="145"/>
      <c r="AQ391" s="145"/>
      <c r="AR391" s="145"/>
      <c r="AS391" s="145"/>
      <c r="AT391" s="145"/>
      <c r="AU391" s="145"/>
      <c r="AV391" s="146"/>
      <c r="AW391" s="146"/>
      <c r="AX391" s="146"/>
      <c r="AY391" s="146"/>
      <c r="AZ391" s="145"/>
      <c r="BA391" s="146"/>
      <c r="BB391" s="145"/>
      <c r="BC391" s="145"/>
      <c r="BD391" s="145"/>
      <c r="BE391" s="145"/>
      <c r="BF391" s="145"/>
      <c r="BG391" s="145"/>
      <c r="BH391" s="145"/>
      <c r="BI391" s="145"/>
      <c r="BJ391" s="145"/>
      <c r="BK391" s="145"/>
    </row>
    <row r="392" spans="1:63" s="147" customFormat="1" ht="15" x14ac:dyDescent="0.25">
      <c r="A392" s="39" t="s">
        <v>608</v>
      </c>
      <c r="B392" s="97" t="s">
        <v>161</v>
      </c>
      <c r="C392" s="103" t="s">
        <v>162</v>
      </c>
      <c r="D392" s="103"/>
      <c r="E392" s="103"/>
      <c r="F392" s="103"/>
      <c r="G392" s="103"/>
      <c r="H392" s="41" t="s">
        <v>55</v>
      </c>
      <c r="I392" s="42">
        <v>0.1053</v>
      </c>
      <c r="J392" s="43">
        <v>1</v>
      </c>
      <c r="K392" s="44">
        <v>0.1053</v>
      </c>
      <c r="L392" s="45"/>
      <c r="M392" s="42"/>
      <c r="N392" s="45"/>
      <c r="O392" s="42"/>
      <c r="P392" s="46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145"/>
      <c r="AC392" s="145"/>
      <c r="AD392" s="145"/>
      <c r="AE392" s="145"/>
      <c r="AF392" s="145"/>
      <c r="AG392" s="145"/>
      <c r="AH392" s="145"/>
      <c r="AI392" s="145"/>
      <c r="AJ392" s="145"/>
      <c r="AK392" s="145"/>
      <c r="AL392" s="145"/>
      <c r="AM392" s="145"/>
      <c r="AN392" s="145"/>
      <c r="AO392" s="145"/>
      <c r="AP392" s="145"/>
      <c r="AQ392" s="145"/>
      <c r="AR392" s="145"/>
      <c r="AS392" s="145"/>
      <c r="AT392" s="145"/>
      <c r="AU392" s="145"/>
      <c r="AV392" s="146"/>
      <c r="AW392" s="146"/>
      <c r="AX392" s="146"/>
      <c r="AY392" s="146"/>
      <c r="AZ392" s="145"/>
      <c r="BA392" s="146"/>
      <c r="BB392" s="145"/>
      <c r="BC392" s="145"/>
      <c r="BD392" s="145"/>
      <c r="BE392" s="145"/>
      <c r="BF392" s="145"/>
      <c r="BG392" s="145"/>
      <c r="BH392" s="145"/>
      <c r="BI392" s="145"/>
      <c r="BJ392" s="145"/>
      <c r="BK392" s="145"/>
    </row>
    <row r="393" spans="1:63" s="147" customFormat="1" ht="15" x14ac:dyDescent="0.25">
      <c r="A393" s="47"/>
      <c r="B393" s="48"/>
      <c r="C393" s="102" t="s">
        <v>56</v>
      </c>
      <c r="D393" s="102"/>
      <c r="E393" s="102"/>
      <c r="F393" s="102"/>
      <c r="G393" s="102"/>
      <c r="H393" s="41"/>
      <c r="I393" s="42"/>
      <c r="J393" s="42"/>
      <c r="K393" s="42"/>
      <c r="L393" s="45"/>
      <c r="M393" s="42"/>
      <c r="N393" s="49"/>
      <c r="O393" s="42"/>
      <c r="P393" s="50">
        <v>3882.768</v>
      </c>
      <c r="Q393" s="157"/>
      <c r="R393" s="157"/>
      <c r="S393" s="82"/>
      <c r="T393" s="82"/>
      <c r="U393" s="156"/>
      <c r="V393" s="82"/>
      <c r="W393" s="166"/>
      <c r="X393" s="82"/>
      <c r="Y393" s="82"/>
      <c r="Z393" s="82"/>
      <c r="AA393" s="82"/>
      <c r="AB393" s="145"/>
      <c r="AC393" s="145"/>
      <c r="AD393" s="145"/>
      <c r="AE393" s="145"/>
      <c r="AF393" s="145"/>
      <c r="AG393" s="145"/>
      <c r="AH393" s="145"/>
      <c r="AI393" s="145"/>
      <c r="AJ393" s="145"/>
      <c r="AK393" s="145"/>
      <c r="AL393" s="145"/>
      <c r="AM393" s="145"/>
      <c r="AN393" s="145"/>
      <c r="AO393" s="145"/>
      <c r="AP393" s="145"/>
      <c r="AQ393" s="145"/>
      <c r="AR393" s="145"/>
      <c r="AS393" s="145"/>
      <c r="AT393" s="145"/>
      <c r="AU393" s="145"/>
      <c r="AV393" s="146"/>
      <c r="AW393" s="146"/>
      <c r="AX393" s="146"/>
      <c r="AY393" s="146"/>
      <c r="AZ393" s="145"/>
      <c r="BA393" s="146"/>
      <c r="BB393" s="145"/>
      <c r="BC393" s="145"/>
      <c r="BD393" s="145"/>
      <c r="BE393" s="145"/>
      <c r="BF393" s="145"/>
      <c r="BG393" s="145"/>
      <c r="BH393" s="145"/>
      <c r="BI393" s="145"/>
      <c r="BJ393" s="145"/>
      <c r="BK393" s="145"/>
    </row>
    <row r="394" spans="1:63" s="147" customFormat="1" ht="15" x14ac:dyDescent="0.25">
      <c r="A394" s="52"/>
      <c r="B394" s="53"/>
      <c r="C394" s="104" t="s">
        <v>57</v>
      </c>
      <c r="D394" s="104"/>
      <c r="E394" s="104"/>
      <c r="F394" s="104"/>
      <c r="G394" s="104"/>
      <c r="H394" s="54"/>
      <c r="I394" s="55"/>
      <c r="J394" s="55"/>
      <c r="K394" s="55"/>
      <c r="L394" s="56"/>
      <c r="M394" s="55"/>
      <c r="N394" s="56"/>
      <c r="O394" s="55"/>
      <c r="P394" s="77">
        <v>3877.7194999999997</v>
      </c>
      <c r="Q394" s="82"/>
      <c r="R394" s="82"/>
      <c r="S394" s="82"/>
      <c r="T394" s="82"/>
      <c r="U394" s="163"/>
      <c r="V394" s="82"/>
      <c r="W394" s="151"/>
      <c r="X394" s="82"/>
      <c r="Y394" s="82"/>
      <c r="Z394" s="82"/>
      <c r="AA394" s="82"/>
      <c r="AB394" s="145"/>
      <c r="AC394" s="145"/>
      <c r="AD394" s="145"/>
      <c r="AE394" s="145"/>
      <c r="AF394" s="145"/>
      <c r="AG394" s="145"/>
      <c r="AH394" s="145"/>
      <c r="AI394" s="145"/>
      <c r="AJ394" s="145"/>
      <c r="AK394" s="145"/>
      <c r="AL394" s="145"/>
      <c r="AM394" s="145"/>
      <c r="AN394" s="145"/>
      <c r="AO394" s="145"/>
      <c r="AP394" s="145"/>
      <c r="AQ394" s="145"/>
      <c r="AR394" s="145"/>
      <c r="AS394" s="145"/>
      <c r="AT394" s="145"/>
      <c r="AU394" s="145"/>
      <c r="AV394" s="146"/>
      <c r="AW394" s="146"/>
      <c r="AX394" s="146"/>
      <c r="AY394" s="146"/>
      <c r="AZ394" s="145"/>
      <c r="BA394" s="146"/>
      <c r="BB394" s="145"/>
      <c r="BC394" s="145"/>
      <c r="BD394" s="145"/>
      <c r="BE394" s="145"/>
      <c r="BF394" s="145"/>
      <c r="BG394" s="145"/>
      <c r="BH394" s="145"/>
      <c r="BI394" s="145"/>
      <c r="BJ394" s="145"/>
      <c r="BK394" s="145"/>
    </row>
    <row r="395" spans="1:63" s="147" customFormat="1" ht="15" x14ac:dyDescent="0.25">
      <c r="A395" s="52"/>
      <c r="B395" s="53" t="s">
        <v>163</v>
      </c>
      <c r="C395" s="104" t="s">
        <v>164</v>
      </c>
      <c r="D395" s="104"/>
      <c r="E395" s="104"/>
      <c r="F395" s="104"/>
      <c r="G395" s="104"/>
      <c r="H395" s="54" t="s">
        <v>60</v>
      </c>
      <c r="I395" s="58">
        <v>89</v>
      </c>
      <c r="J395" s="55"/>
      <c r="K395" s="58">
        <v>89</v>
      </c>
      <c r="L395" s="56"/>
      <c r="M395" s="55"/>
      <c r="N395" s="56"/>
      <c r="O395" s="55"/>
      <c r="P395" s="77">
        <v>3451.1729999999998</v>
      </c>
      <c r="Q395" s="82"/>
      <c r="R395" s="82"/>
      <c r="S395" s="82"/>
      <c r="T395" s="82"/>
      <c r="U395" s="163"/>
      <c r="V395" s="82"/>
      <c r="W395" s="160"/>
      <c r="X395" s="82"/>
      <c r="Y395" s="82"/>
      <c r="Z395" s="82"/>
      <c r="AA395" s="82"/>
      <c r="AB395" s="145"/>
      <c r="AC395" s="145"/>
      <c r="AD395" s="145"/>
      <c r="AE395" s="145"/>
      <c r="AF395" s="145"/>
      <c r="AG395" s="145"/>
      <c r="AH395" s="145"/>
      <c r="AI395" s="145"/>
      <c r="AJ395" s="145"/>
      <c r="AK395" s="145"/>
      <c r="AL395" s="145"/>
      <c r="AM395" s="145"/>
      <c r="AN395" s="145"/>
      <c r="AO395" s="145"/>
      <c r="AP395" s="145"/>
      <c r="AQ395" s="145"/>
      <c r="AR395" s="145"/>
      <c r="AS395" s="145"/>
      <c r="AT395" s="145"/>
      <c r="AU395" s="145"/>
      <c r="AV395" s="146"/>
      <c r="AW395" s="146"/>
      <c r="AX395" s="146"/>
      <c r="AY395" s="146"/>
      <c r="AZ395" s="145"/>
      <c r="BA395" s="146"/>
      <c r="BB395" s="145"/>
      <c r="BC395" s="145"/>
      <c r="BD395" s="145"/>
      <c r="BE395" s="145"/>
      <c r="BF395" s="145"/>
      <c r="BG395" s="145"/>
      <c r="BH395" s="145"/>
      <c r="BI395" s="145"/>
      <c r="BJ395" s="145"/>
      <c r="BK395" s="145"/>
    </row>
    <row r="396" spans="1:63" s="147" customFormat="1" ht="15" x14ac:dyDescent="0.25">
      <c r="A396" s="52"/>
      <c r="B396" s="53" t="s">
        <v>165</v>
      </c>
      <c r="C396" s="104" t="s">
        <v>166</v>
      </c>
      <c r="D396" s="104"/>
      <c r="E396" s="104"/>
      <c r="F396" s="104"/>
      <c r="G396" s="104"/>
      <c r="H396" s="54" t="s">
        <v>60</v>
      </c>
      <c r="I396" s="58">
        <v>49</v>
      </c>
      <c r="J396" s="55"/>
      <c r="K396" s="58">
        <v>49</v>
      </c>
      <c r="L396" s="56"/>
      <c r="M396" s="55"/>
      <c r="N396" s="56"/>
      <c r="O396" s="55"/>
      <c r="P396" s="77">
        <v>1900.0874999999999</v>
      </c>
      <c r="Q396" s="82"/>
      <c r="R396" s="82"/>
      <c r="S396" s="82"/>
      <c r="T396" s="82"/>
      <c r="U396" s="163"/>
      <c r="V396" s="82"/>
      <c r="W396" s="164"/>
      <c r="X396" s="82"/>
      <c r="Y396" s="82"/>
      <c r="Z396" s="82"/>
      <c r="AA396" s="82"/>
      <c r="AB396" s="145"/>
      <c r="AC396" s="145"/>
      <c r="AD396" s="145"/>
      <c r="AE396" s="145"/>
      <c r="AF396" s="145"/>
      <c r="AG396" s="145"/>
      <c r="AH396" s="145"/>
      <c r="AI396" s="145"/>
      <c r="AJ396" s="145"/>
      <c r="AK396" s="145"/>
      <c r="AL396" s="145"/>
      <c r="AM396" s="145"/>
      <c r="AN396" s="145"/>
      <c r="AO396" s="145"/>
      <c r="AP396" s="145"/>
      <c r="AQ396" s="145"/>
      <c r="AR396" s="145"/>
      <c r="AS396" s="145"/>
      <c r="AT396" s="145"/>
      <c r="AU396" s="145"/>
      <c r="AV396" s="146"/>
      <c r="AW396" s="146"/>
      <c r="AX396" s="146"/>
      <c r="AY396" s="146"/>
      <c r="AZ396" s="145"/>
      <c r="BA396" s="146"/>
      <c r="BB396" s="145"/>
      <c r="BC396" s="145"/>
      <c r="BD396" s="145"/>
      <c r="BE396" s="145"/>
      <c r="BF396" s="145"/>
      <c r="BG396" s="145"/>
      <c r="BH396" s="145"/>
      <c r="BI396" s="145"/>
      <c r="BJ396" s="145"/>
      <c r="BK396" s="145"/>
    </row>
    <row r="397" spans="1:63" s="147" customFormat="1" ht="15" x14ac:dyDescent="0.25">
      <c r="A397" s="59"/>
      <c r="B397" s="98"/>
      <c r="C397" s="102" t="s">
        <v>63</v>
      </c>
      <c r="D397" s="102"/>
      <c r="E397" s="102"/>
      <c r="F397" s="102"/>
      <c r="G397" s="102"/>
      <c r="H397" s="41"/>
      <c r="I397" s="42"/>
      <c r="J397" s="42"/>
      <c r="K397" s="42"/>
      <c r="L397" s="45"/>
      <c r="M397" s="42"/>
      <c r="N397" s="49">
        <v>68453.45</v>
      </c>
      <c r="O397" s="42"/>
      <c r="P397" s="50">
        <v>12684.028499999999</v>
      </c>
      <c r="Q397" s="82"/>
      <c r="R397" s="82"/>
      <c r="S397" s="82"/>
      <c r="T397" s="82"/>
      <c r="U397" s="156"/>
      <c r="V397" s="82"/>
      <c r="W397" s="164"/>
      <c r="X397" s="82"/>
      <c r="Y397" s="82"/>
      <c r="Z397" s="82"/>
      <c r="AA397" s="82"/>
      <c r="AB397" s="145"/>
      <c r="AC397" s="145"/>
      <c r="AD397" s="145"/>
      <c r="AE397" s="145"/>
      <c r="AF397" s="145"/>
      <c r="AG397" s="145"/>
      <c r="AH397" s="145"/>
      <c r="AI397" s="145"/>
      <c r="AJ397" s="145"/>
      <c r="AK397" s="145"/>
      <c r="AL397" s="145"/>
      <c r="AM397" s="145"/>
      <c r="AN397" s="145"/>
      <c r="AO397" s="145"/>
      <c r="AP397" s="145"/>
      <c r="AQ397" s="145"/>
      <c r="AR397" s="145"/>
      <c r="AS397" s="145"/>
      <c r="AT397" s="145"/>
      <c r="AU397" s="145"/>
      <c r="AV397" s="146"/>
      <c r="AW397" s="146"/>
      <c r="AX397" s="146"/>
      <c r="AY397" s="146"/>
      <c r="AZ397" s="145"/>
      <c r="BA397" s="146"/>
      <c r="BB397" s="145"/>
      <c r="BC397" s="145"/>
      <c r="BD397" s="145"/>
      <c r="BE397" s="145"/>
      <c r="BF397" s="145"/>
      <c r="BG397" s="145"/>
      <c r="BH397" s="145"/>
      <c r="BI397" s="145"/>
      <c r="BJ397" s="145"/>
      <c r="BK397" s="145"/>
    </row>
    <row r="398" spans="1:63" s="147" customFormat="1" ht="15" x14ac:dyDescent="0.25">
      <c r="A398" s="39" t="s">
        <v>609</v>
      </c>
      <c r="B398" s="97" t="s">
        <v>168</v>
      </c>
      <c r="C398" s="103" t="s">
        <v>169</v>
      </c>
      <c r="D398" s="103"/>
      <c r="E398" s="103"/>
      <c r="F398" s="103"/>
      <c r="G398" s="103"/>
      <c r="H398" s="41" t="s">
        <v>170</v>
      </c>
      <c r="I398" s="42">
        <v>0.62</v>
      </c>
      <c r="J398" s="43">
        <v>1</v>
      </c>
      <c r="K398" s="62">
        <v>0.621</v>
      </c>
      <c r="L398" s="45"/>
      <c r="M398" s="42"/>
      <c r="N398" s="45"/>
      <c r="O398" s="42"/>
      <c r="P398" s="50"/>
      <c r="Q398" s="82"/>
      <c r="R398" s="82"/>
      <c r="S398" s="82"/>
      <c r="T398" s="82"/>
      <c r="U398" s="153"/>
      <c r="V398" s="82"/>
      <c r="W398" s="151"/>
      <c r="X398" s="82"/>
      <c r="Y398" s="82"/>
      <c r="Z398" s="82"/>
      <c r="AA398" s="82"/>
      <c r="AB398" s="145"/>
      <c r="AC398" s="145"/>
      <c r="AD398" s="145"/>
      <c r="AE398" s="145"/>
      <c r="AF398" s="145"/>
      <c r="AG398" s="145"/>
      <c r="AH398" s="145"/>
      <c r="AI398" s="145"/>
      <c r="AJ398" s="145"/>
      <c r="AK398" s="145"/>
      <c r="AL398" s="145"/>
      <c r="AM398" s="145"/>
      <c r="AN398" s="145"/>
      <c r="AO398" s="145"/>
      <c r="AP398" s="145"/>
      <c r="AQ398" s="145"/>
      <c r="AR398" s="145"/>
      <c r="AS398" s="145"/>
      <c r="AT398" s="145"/>
      <c r="AU398" s="145"/>
      <c r="AV398" s="146"/>
      <c r="AW398" s="146"/>
      <c r="AX398" s="146"/>
      <c r="AY398" s="146"/>
      <c r="AZ398" s="145"/>
      <c r="BA398" s="146"/>
      <c r="BB398" s="145"/>
      <c r="BC398" s="145"/>
      <c r="BD398" s="145"/>
      <c r="BE398" s="145"/>
      <c r="BF398" s="145"/>
      <c r="BG398" s="145"/>
      <c r="BH398" s="145"/>
      <c r="BI398" s="145"/>
      <c r="BJ398" s="145"/>
      <c r="BK398" s="145"/>
    </row>
    <row r="399" spans="1:63" s="147" customFormat="1" ht="15" x14ac:dyDescent="0.25">
      <c r="A399" s="47"/>
      <c r="B399" s="48"/>
      <c r="C399" s="102" t="s">
        <v>56</v>
      </c>
      <c r="D399" s="102"/>
      <c r="E399" s="102"/>
      <c r="F399" s="102"/>
      <c r="G399" s="102"/>
      <c r="H399" s="41"/>
      <c r="I399" s="42"/>
      <c r="J399" s="42"/>
      <c r="K399" s="42"/>
      <c r="L399" s="45"/>
      <c r="M399" s="42"/>
      <c r="N399" s="49"/>
      <c r="O399" s="42"/>
      <c r="P399" s="50">
        <v>3946.6964999999996</v>
      </c>
      <c r="Q399" s="157"/>
      <c r="R399" s="157"/>
      <c r="S399" s="82"/>
      <c r="T399" s="82"/>
      <c r="U399" s="156"/>
      <c r="V399" s="82"/>
      <c r="W399" s="168"/>
      <c r="X399" s="82"/>
      <c r="Y399" s="82"/>
      <c r="Z399" s="82"/>
      <c r="AA399" s="82"/>
      <c r="AB399" s="145"/>
      <c r="AC399" s="145"/>
      <c r="AD399" s="145"/>
      <c r="AE399" s="145"/>
      <c r="AF399" s="145"/>
      <c r="AG399" s="145"/>
      <c r="AH399" s="145"/>
      <c r="AI399" s="145"/>
      <c r="AJ399" s="145"/>
      <c r="AK399" s="145"/>
      <c r="AL399" s="145"/>
      <c r="AM399" s="145"/>
      <c r="AN399" s="145"/>
      <c r="AO399" s="145"/>
      <c r="AP399" s="145"/>
      <c r="AQ399" s="145"/>
      <c r="AR399" s="145"/>
      <c r="AS399" s="145"/>
      <c r="AT399" s="145"/>
      <c r="AU399" s="145"/>
      <c r="AV399" s="146"/>
      <c r="AW399" s="146"/>
      <c r="AX399" s="146"/>
      <c r="AY399" s="146"/>
      <c r="AZ399" s="145"/>
      <c r="BA399" s="146"/>
      <c r="BB399" s="145"/>
      <c r="BC399" s="145"/>
      <c r="BD399" s="145"/>
      <c r="BE399" s="145"/>
      <c r="BF399" s="145"/>
      <c r="BG399" s="145"/>
      <c r="BH399" s="145"/>
      <c r="BI399" s="145"/>
      <c r="BJ399" s="145"/>
      <c r="BK399" s="145"/>
    </row>
    <row r="400" spans="1:63" s="147" customFormat="1" ht="15" x14ac:dyDescent="0.25">
      <c r="A400" s="52"/>
      <c r="B400" s="53"/>
      <c r="C400" s="104" t="s">
        <v>57</v>
      </c>
      <c r="D400" s="104"/>
      <c r="E400" s="104"/>
      <c r="F400" s="104"/>
      <c r="G400" s="104"/>
      <c r="H400" s="54"/>
      <c r="I400" s="55"/>
      <c r="J400" s="55"/>
      <c r="K400" s="55"/>
      <c r="L400" s="56"/>
      <c r="M400" s="55"/>
      <c r="N400" s="56"/>
      <c r="O400" s="55"/>
      <c r="P400" s="77">
        <v>3555.4089999999997</v>
      </c>
      <c r="Q400" s="82"/>
      <c r="R400" s="82"/>
      <c r="S400" s="82"/>
      <c r="T400" s="82"/>
      <c r="U400" s="163"/>
      <c r="V400" s="82"/>
      <c r="W400" s="151"/>
      <c r="X400" s="82"/>
      <c r="Y400" s="82"/>
      <c r="Z400" s="82"/>
      <c r="AA400" s="82"/>
      <c r="AB400" s="145"/>
      <c r="AC400" s="145"/>
      <c r="AD400" s="145"/>
      <c r="AE400" s="145"/>
      <c r="AF400" s="145"/>
      <c r="AG400" s="145"/>
      <c r="AH400" s="145"/>
      <c r="AI400" s="145"/>
      <c r="AJ400" s="145"/>
      <c r="AK400" s="145"/>
      <c r="AL400" s="145"/>
      <c r="AM400" s="145"/>
      <c r="AN400" s="145"/>
      <c r="AO400" s="145"/>
      <c r="AP400" s="145"/>
      <c r="AQ400" s="145"/>
      <c r="AR400" s="145"/>
      <c r="AS400" s="145"/>
      <c r="AT400" s="145"/>
      <c r="AU400" s="145"/>
      <c r="AV400" s="146"/>
      <c r="AW400" s="146"/>
      <c r="AX400" s="146"/>
      <c r="AY400" s="146"/>
      <c r="AZ400" s="145"/>
      <c r="BA400" s="146"/>
      <c r="BB400" s="145"/>
      <c r="BC400" s="145"/>
      <c r="BD400" s="145"/>
      <c r="BE400" s="145"/>
      <c r="BF400" s="145"/>
      <c r="BG400" s="145"/>
      <c r="BH400" s="145"/>
      <c r="BI400" s="145"/>
      <c r="BJ400" s="145"/>
      <c r="BK400" s="145"/>
    </row>
    <row r="401" spans="1:63" s="147" customFormat="1" ht="15" x14ac:dyDescent="0.25">
      <c r="A401" s="52"/>
      <c r="B401" s="53" t="s">
        <v>149</v>
      </c>
      <c r="C401" s="104" t="s">
        <v>150</v>
      </c>
      <c r="D401" s="104"/>
      <c r="E401" s="104"/>
      <c r="F401" s="104"/>
      <c r="G401" s="104"/>
      <c r="H401" s="54" t="s">
        <v>60</v>
      </c>
      <c r="I401" s="58">
        <v>91</v>
      </c>
      <c r="J401" s="55"/>
      <c r="K401" s="58">
        <v>91</v>
      </c>
      <c r="L401" s="56"/>
      <c r="M401" s="55"/>
      <c r="N401" s="56"/>
      <c r="O401" s="55"/>
      <c r="P401" s="77">
        <v>3235.4214999999995</v>
      </c>
      <c r="Q401" s="82"/>
      <c r="R401" s="82"/>
      <c r="S401" s="82"/>
      <c r="T401" s="82"/>
      <c r="U401" s="163"/>
      <c r="V401" s="82"/>
      <c r="W401" s="160"/>
      <c r="X401" s="82"/>
      <c r="Y401" s="82"/>
      <c r="Z401" s="82"/>
      <c r="AA401" s="82"/>
      <c r="AB401" s="145"/>
      <c r="AC401" s="145"/>
      <c r="AD401" s="145"/>
      <c r="AE401" s="145"/>
      <c r="AF401" s="145"/>
      <c r="AG401" s="145"/>
      <c r="AH401" s="145"/>
      <c r="AI401" s="145"/>
      <c r="AJ401" s="145"/>
      <c r="AK401" s="145"/>
      <c r="AL401" s="145"/>
      <c r="AM401" s="145"/>
      <c r="AN401" s="145"/>
      <c r="AO401" s="145"/>
      <c r="AP401" s="145"/>
      <c r="AQ401" s="145"/>
      <c r="AR401" s="145"/>
      <c r="AS401" s="145"/>
      <c r="AT401" s="145"/>
      <c r="AU401" s="145"/>
      <c r="AV401" s="146"/>
      <c r="AW401" s="146"/>
      <c r="AX401" s="146"/>
      <c r="AY401" s="146"/>
      <c r="AZ401" s="145"/>
      <c r="BA401" s="146"/>
      <c r="BB401" s="145"/>
      <c r="BC401" s="145"/>
      <c r="BD401" s="145"/>
      <c r="BE401" s="145"/>
      <c r="BF401" s="145"/>
      <c r="BG401" s="145"/>
      <c r="BH401" s="145"/>
      <c r="BI401" s="145"/>
      <c r="BJ401" s="145"/>
      <c r="BK401" s="145"/>
    </row>
    <row r="402" spans="1:63" s="147" customFormat="1" ht="15" x14ac:dyDescent="0.25">
      <c r="A402" s="52"/>
      <c r="B402" s="53" t="s">
        <v>151</v>
      </c>
      <c r="C402" s="104" t="s">
        <v>152</v>
      </c>
      <c r="D402" s="104"/>
      <c r="E402" s="104"/>
      <c r="F402" s="104"/>
      <c r="G402" s="104"/>
      <c r="H402" s="54" t="s">
        <v>60</v>
      </c>
      <c r="I402" s="58">
        <v>52</v>
      </c>
      <c r="J402" s="55"/>
      <c r="K402" s="58">
        <v>52</v>
      </c>
      <c r="L402" s="56"/>
      <c r="M402" s="55"/>
      <c r="N402" s="56"/>
      <c r="O402" s="55"/>
      <c r="P402" s="77">
        <v>1848.809</v>
      </c>
      <c r="Q402" s="82"/>
      <c r="R402" s="82"/>
      <c r="S402" s="82"/>
      <c r="T402" s="82"/>
      <c r="U402" s="163"/>
      <c r="V402" s="82"/>
      <c r="W402" s="164"/>
      <c r="X402" s="82"/>
      <c r="Y402" s="82"/>
      <c r="Z402" s="82"/>
      <c r="AA402" s="82"/>
      <c r="AB402" s="145"/>
      <c r="AC402" s="145"/>
      <c r="AD402" s="145"/>
      <c r="AE402" s="145"/>
      <c r="AF402" s="145"/>
      <c r="AG402" s="145"/>
      <c r="AH402" s="145"/>
      <c r="AI402" s="145"/>
      <c r="AJ402" s="145"/>
      <c r="AK402" s="145"/>
      <c r="AL402" s="145"/>
      <c r="AM402" s="145"/>
      <c r="AN402" s="145"/>
      <c r="AO402" s="145"/>
      <c r="AP402" s="145"/>
      <c r="AQ402" s="145"/>
      <c r="AR402" s="145"/>
      <c r="AS402" s="145"/>
      <c r="AT402" s="145"/>
      <c r="AU402" s="145"/>
      <c r="AV402" s="146"/>
      <c r="AW402" s="146"/>
      <c r="AX402" s="146"/>
      <c r="AY402" s="146"/>
      <c r="AZ402" s="145"/>
      <c r="BA402" s="146"/>
      <c r="BB402" s="145"/>
      <c r="BC402" s="145"/>
      <c r="BD402" s="145"/>
      <c r="BE402" s="145"/>
      <c r="BF402" s="145"/>
      <c r="BG402" s="145"/>
      <c r="BH402" s="145"/>
      <c r="BI402" s="145"/>
      <c r="BJ402" s="145"/>
      <c r="BK402" s="145"/>
    </row>
    <row r="403" spans="1:63" s="147" customFormat="1" ht="15" x14ac:dyDescent="0.25">
      <c r="A403" s="59"/>
      <c r="B403" s="98"/>
      <c r="C403" s="102" t="s">
        <v>63</v>
      </c>
      <c r="D403" s="102"/>
      <c r="E403" s="102"/>
      <c r="F403" s="102"/>
      <c r="G403" s="102"/>
      <c r="H403" s="41"/>
      <c r="I403" s="42"/>
      <c r="J403" s="42"/>
      <c r="K403" s="42"/>
      <c r="L403" s="45"/>
      <c r="M403" s="42"/>
      <c r="N403" s="49">
        <v>8013.24</v>
      </c>
      <c r="O403" s="42"/>
      <c r="P403" s="50">
        <v>9030.9269999999997</v>
      </c>
      <c r="Q403" s="82"/>
      <c r="R403" s="82"/>
      <c r="S403" s="82"/>
      <c r="T403" s="82"/>
      <c r="U403" s="156"/>
      <c r="V403" s="82"/>
      <c r="W403" s="164"/>
      <c r="X403" s="82"/>
      <c r="Y403" s="82"/>
      <c r="Z403" s="82"/>
      <c r="AA403" s="82"/>
      <c r="AB403" s="145"/>
      <c r="AC403" s="145"/>
      <c r="AD403" s="145"/>
      <c r="AE403" s="145"/>
      <c r="AF403" s="145"/>
      <c r="AG403" s="145"/>
      <c r="AH403" s="145"/>
      <c r="AI403" s="145"/>
      <c r="AJ403" s="145"/>
      <c r="AK403" s="145"/>
      <c r="AL403" s="145"/>
      <c r="AM403" s="145"/>
      <c r="AN403" s="145"/>
      <c r="AO403" s="145"/>
      <c r="AP403" s="145"/>
      <c r="AQ403" s="145"/>
      <c r="AR403" s="145"/>
      <c r="AS403" s="145"/>
      <c r="AT403" s="145"/>
      <c r="AU403" s="145"/>
      <c r="AV403" s="146"/>
      <c r="AW403" s="146"/>
      <c r="AX403" s="146"/>
      <c r="AY403" s="146"/>
      <c r="AZ403" s="145"/>
      <c r="BA403" s="146"/>
      <c r="BB403" s="145"/>
      <c r="BC403" s="145"/>
      <c r="BD403" s="145"/>
      <c r="BE403" s="145"/>
      <c r="BF403" s="145"/>
      <c r="BG403" s="145"/>
      <c r="BH403" s="145"/>
      <c r="BI403" s="145"/>
      <c r="BJ403" s="145"/>
      <c r="BK403" s="145"/>
    </row>
    <row r="404" spans="1:63" s="147" customFormat="1" ht="15" x14ac:dyDescent="0.25">
      <c r="A404" s="39" t="s">
        <v>610</v>
      </c>
      <c r="B404" s="97" t="s">
        <v>172</v>
      </c>
      <c r="C404" s="103" t="s">
        <v>173</v>
      </c>
      <c r="D404" s="103"/>
      <c r="E404" s="103"/>
      <c r="F404" s="103"/>
      <c r="G404" s="103"/>
      <c r="H404" s="41" t="s">
        <v>170</v>
      </c>
      <c r="I404" s="42">
        <v>2.8000000000000001E-2</v>
      </c>
      <c r="J404" s="43">
        <v>1</v>
      </c>
      <c r="K404" s="66">
        <v>2.8000000000000001E-2</v>
      </c>
      <c r="L404" s="45"/>
      <c r="M404" s="42"/>
      <c r="N404" s="45"/>
      <c r="O404" s="42"/>
      <c r="P404" s="50"/>
      <c r="Q404" s="82"/>
      <c r="R404" s="82"/>
      <c r="S404" s="82"/>
      <c r="T404" s="82"/>
      <c r="U404" s="153"/>
      <c r="V404" s="82"/>
      <c r="W404" s="151"/>
      <c r="X404" s="82"/>
      <c r="Y404" s="82"/>
      <c r="Z404" s="82"/>
      <c r="AA404" s="82"/>
      <c r="AB404" s="145"/>
      <c r="AC404" s="145"/>
      <c r="AD404" s="145"/>
      <c r="AE404" s="145"/>
      <c r="AF404" s="145"/>
      <c r="AG404" s="145"/>
      <c r="AH404" s="145"/>
      <c r="AI404" s="145"/>
      <c r="AJ404" s="145"/>
      <c r="AK404" s="145"/>
      <c r="AL404" s="145"/>
      <c r="AM404" s="145"/>
      <c r="AN404" s="145"/>
      <c r="AO404" s="145"/>
      <c r="AP404" s="145"/>
      <c r="AQ404" s="145"/>
      <c r="AR404" s="145"/>
      <c r="AS404" s="145"/>
      <c r="AT404" s="145"/>
      <c r="AU404" s="145"/>
      <c r="AV404" s="146"/>
      <c r="AW404" s="146"/>
      <c r="AX404" s="146"/>
      <c r="AY404" s="146"/>
      <c r="AZ404" s="145"/>
      <c r="BA404" s="146"/>
      <c r="BB404" s="145"/>
      <c r="BC404" s="145"/>
      <c r="BD404" s="145"/>
      <c r="BE404" s="145"/>
      <c r="BF404" s="145"/>
      <c r="BG404" s="145"/>
      <c r="BH404" s="145"/>
      <c r="BI404" s="145"/>
      <c r="BJ404" s="145"/>
      <c r="BK404" s="145"/>
    </row>
    <row r="405" spans="1:63" s="147" customFormat="1" ht="15" x14ac:dyDescent="0.25">
      <c r="A405" s="47"/>
      <c r="B405" s="48"/>
      <c r="C405" s="102" t="s">
        <v>56</v>
      </c>
      <c r="D405" s="102"/>
      <c r="E405" s="102"/>
      <c r="F405" s="102"/>
      <c r="G405" s="102"/>
      <c r="H405" s="41"/>
      <c r="I405" s="42"/>
      <c r="J405" s="42"/>
      <c r="K405" s="42"/>
      <c r="L405" s="45"/>
      <c r="M405" s="42"/>
      <c r="N405" s="49"/>
      <c r="O405" s="42"/>
      <c r="P405" s="50">
        <v>2188.0360000000001</v>
      </c>
      <c r="Q405" s="157"/>
      <c r="R405" s="157"/>
      <c r="S405" s="82"/>
      <c r="T405" s="82"/>
      <c r="U405" s="156"/>
      <c r="V405" s="82"/>
      <c r="W405" s="168"/>
      <c r="X405" s="82"/>
      <c r="Y405" s="82"/>
      <c r="Z405" s="82"/>
      <c r="AA405" s="82"/>
      <c r="AB405" s="145"/>
      <c r="AC405" s="145"/>
      <c r="AD405" s="145"/>
      <c r="AE405" s="145"/>
      <c r="AF405" s="145"/>
      <c r="AG405" s="145"/>
      <c r="AH405" s="145"/>
      <c r="AI405" s="145"/>
      <c r="AJ405" s="145"/>
      <c r="AK405" s="145"/>
      <c r="AL405" s="145"/>
      <c r="AM405" s="145"/>
      <c r="AN405" s="145"/>
      <c r="AO405" s="145"/>
      <c r="AP405" s="145"/>
      <c r="AQ405" s="145"/>
      <c r="AR405" s="145"/>
      <c r="AS405" s="145"/>
      <c r="AT405" s="145"/>
      <c r="AU405" s="145"/>
      <c r="AV405" s="146"/>
      <c r="AW405" s="146"/>
      <c r="AX405" s="146"/>
      <c r="AY405" s="146"/>
      <c r="AZ405" s="145"/>
      <c r="BA405" s="146"/>
      <c r="BB405" s="145"/>
      <c r="BC405" s="145"/>
      <c r="BD405" s="145"/>
      <c r="BE405" s="145"/>
      <c r="BF405" s="145"/>
      <c r="BG405" s="145"/>
      <c r="BH405" s="145"/>
      <c r="BI405" s="145"/>
      <c r="BJ405" s="145"/>
      <c r="BK405" s="145"/>
    </row>
    <row r="406" spans="1:63" s="147" customFormat="1" ht="15" x14ac:dyDescent="0.25">
      <c r="A406" s="52"/>
      <c r="B406" s="53"/>
      <c r="C406" s="104" t="s">
        <v>57</v>
      </c>
      <c r="D406" s="104"/>
      <c r="E406" s="104"/>
      <c r="F406" s="104"/>
      <c r="G406" s="104"/>
      <c r="H406" s="54"/>
      <c r="I406" s="55"/>
      <c r="J406" s="55"/>
      <c r="K406" s="55"/>
      <c r="L406" s="56"/>
      <c r="M406" s="55"/>
      <c r="N406" s="56"/>
      <c r="O406" s="55"/>
      <c r="P406" s="77">
        <v>1948.4794999999997</v>
      </c>
      <c r="Q406" s="82"/>
      <c r="R406" s="82"/>
      <c r="S406" s="82"/>
      <c r="T406" s="82"/>
      <c r="U406" s="163"/>
      <c r="V406" s="82"/>
      <c r="W406" s="151"/>
      <c r="X406" s="82"/>
      <c r="Y406" s="82"/>
      <c r="Z406" s="82"/>
      <c r="AA406" s="82"/>
      <c r="AB406" s="145"/>
      <c r="AC406" s="145"/>
      <c r="AD406" s="145"/>
      <c r="AE406" s="145"/>
      <c r="AF406" s="145"/>
      <c r="AG406" s="145"/>
      <c r="AH406" s="145"/>
      <c r="AI406" s="145"/>
      <c r="AJ406" s="145"/>
      <c r="AK406" s="145"/>
      <c r="AL406" s="145"/>
      <c r="AM406" s="145"/>
      <c r="AN406" s="145"/>
      <c r="AO406" s="145"/>
      <c r="AP406" s="145"/>
      <c r="AQ406" s="145"/>
      <c r="AR406" s="145"/>
      <c r="AS406" s="145"/>
      <c r="AT406" s="145"/>
      <c r="AU406" s="145"/>
      <c r="AV406" s="146"/>
      <c r="AW406" s="146"/>
      <c r="AX406" s="146"/>
      <c r="AY406" s="146"/>
      <c r="AZ406" s="145"/>
      <c r="BA406" s="146"/>
      <c r="BB406" s="145"/>
      <c r="BC406" s="145"/>
      <c r="BD406" s="145"/>
      <c r="BE406" s="145"/>
      <c r="BF406" s="145"/>
      <c r="BG406" s="145"/>
      <c r="BH406" s="145"/>
      <c r="BI406" s="145"/>
      <c r="BJ406" s="145"/>
      <c r="BK406" s="145"/>
    </row>
    <row r="407" spans="1:63" s="147" customFormat="1" ht="15" x14ac:dyDescent="0.25">
      <c r="A407" s="52"/>
      <c r="B407" s="53" t="s">
        <v>174</v>
      </c>
      <c r="C407" s="104" t="s">
        <v>175</v>
      </c>
      <c r="D407" s="104"/>
      <c r="E407" s="104"/>
      <c r="F407" s="104"/>
      <c r="G407" s="104"/>
      <c r="H407" s="54" t="s">
        <v>60</v>
      </c>
      <c r="I407" s="58">
        <v>110</v>
      </c>
      <c r="J407" s="55"/>
      <c r="K407" s="58">
        <v>110</v>
      </c>
      <c r="L407" s="56"/>
      <c r="M407" s="55"/>
      <c r="N407" s="56"/>
      <c r="O407" s="55"/>
      <c r="P407" s="77">
        <v>2143.3239999999996</v>
      </c>
      <c r="Q407" s="82"/>
      <c r="R407" s="82"/>
      <c r="S407" s="82"/>
      <c r="T407" s="82"/>
      <c r="U407" s="163"/>
      <c r="V407" s="82"/>
      <c r="W407" s="160"/>
      <c r="X407" s="82"/>
      <c r="Y407" s="82"/>
      <c r="Z407" s="82"/>
      <c r="AA407" s="82"/>
      <c r="AB407" s="145"/>
      <c r="AC407" s="145"/>
      <c r="AD407" s="145"/>
      <c r="AE407" s="145"/>
      <c r="AF407" s="145"/>
      <c r="AG407" s="145"/>
      <c r="AH407" s="145"/>
      <c r="AI407" s="145"/>
      <c r="AJ407" s="145"/>
      <c r="AK407" s="145"/>
      <c r="AL407" s="145"/>
      <c r="AM407" s="145"/>
      <c r="AN407" s="145"/>
      <c r="AO407" s="145"/>
      <c r="AP407" s="145"/>
      <c r="AQ407" s="145"/>
      <c r="AR407" s="145"/>
      <c r="AS407" s="145"/>
      <c r="AT407" s="145"/>
      <c r="AU407" s="145"/>
      <c r="AV407" s="146"/>
      <c r="AW407" s="146"/>
      <c r="AX407" s="146"/>
      <c r="AY407" s="146"/>
      <c r="AZ407" s="145"/>
      <c r="BA407" s="146"/>
      <c r="BB407" s="145"/>
      <c r="BC407" s="145"/>
      <c r="BD407" s="145"/>
      <c r="BE407" s="145"/>
      <c r="BF407" s="145"/>
      <c r="BG407" s="145"/>
      <c r="BH407" s="145"/>
      <c r="BI407" s="145"/>
      <c r="BJ407" s="145"/>
      <c r="BK407" s="145"/>
    </row>
    <row r="408" spans="1:63" s="147" customFormat="1" ht="15" x14ac:dyDescent="0.25">
      <c r="A408" s="52"/>
      <c r="B408" s="53" t="s">
        <v>176</v>
      </c>
      <c r="C408" s="104" t="s">
        <v>177</v>
      </c>
      <c r="D408" s="104"/>
      <c r="E408" s="104"/>
      <c r="F408" s="104"/>
      <c r="G408" s="104"/>
      <c r="H408" s="54" t="s">
        <v>60</v>
      </c>
      <c r="I408" s="58">
        <v>69</v>
      </c>
      <c r="J408" s="55"/>
      <c r="K408" s="58">
        <v>69</v>
      </c>
      <c r="L408" s="56"/>
      <c r="M408" s="55"/>
      <c r="N408" s="56"/>
      <c r="O408" s="55"/>
      <c r="P408" s="77">
        <v>1344.4534999999998</v>
      </c>
      <c r="Q408" s="82"/>
      <c r="R408" s="82"/>
      <c r="S408" s="82"/>
      <c r="T408" s="82"/>
      <c r="U408" s="163"/>
      <c r="V408" s="82"/>
      <c r="W408" s="164"/>
      <c r="X408" s="82"/>
      <c r="Y408" s="82"/>
      <c r="Z408" s="82"/>
      <c r="AA408" s="82"/>
      <c r="AB408" s="145"/>
      <c r="AC408" s="145"/>
      <c r="AD408" s="145"/>
      <c r="AE408" s="145"/>
      <c r="AF408" s="145"/>
      <c r="AG408" s="145"/>
      <c r="AH408" s="145"/>
      <c r="AI408" s="145"/>
      <c r="AJ408" s="145"/>
      <c r="AK408" s="145"/>
      <c r="AL408" s="145"/>
      <c r="AM408" s="145"/>
      <c r="AN408" s="145"/>
      <c r="AO408" s="145"/>
      <c r="AP408" s="145"/>
      <c r="AQ408" s="145"/>
      <c r="AR408" s="145"/>
      <c r="AS408" s="145"/>
      <c r="AT408" s="145"/>
      <c r="AU408" s="145"/>
      <c r="AV408" s="146"/>
      <c r="AW408" s="146"/>
      <c r="AX408" s="146"/>
      <c r="AY408" s="146"/>
      <c r="AZ408" s="145"/>
      <c r="BA408" s="146"/>
      <c r="BB408" s="145"/>
      <c r="BC408" s="145"/>
      <c r="BD408" s="145"/>
      <c r="BE408" s="145"/>
      <c r="BF408" s="145"/>
      <c r="BG408" s="145"/>
      <c r="BH408" s="145"/>
      <c r="BI408" s="145"/>
      <c r="BJ408" s="145"/>
      <c r="BK408" s="145"/>
    </row>
    <row r="409" spans="1:63" s="147" customFormat="1" ht="15" x14ac:dyDescent="0.25">
      <c r="A409" s="59"/>
      <c r="B409" s="98"/>
      <c r="C409" s="102" t="s">
        <v>63</v>
      </c>
      <c r="D409" s="102"/>
      <c r="E409" s="102"/>
      <c r="F409" s="102"/>
      <c r="G409" s="102"/>
      <c r="H409" s="41"/>
      <c r="I409" s="42"/>
      <c r="J409" s="42"/>
      <c r="K409" s="42"/>
      <c r="L409" s="45"/>
      <c r="M409" s="42"/>
      <c r="N409" s="49">
        <v>5036.21</v>
      </c>
      <c r="O409" s="42"/>
      <c r="P409" s="50">
        <v>5675.8134999999993</v>
      </c>
      <c r="Q409" s="82"/>
      <c r="R409" s="82"/>
      <c r="S409" s="82"/>
      <c r="T409" s="82"/>
      <c r="U409" s="156"/>
      <c r="V409" s="82"/>
      <c r="W409" s="164"/>
      <c r="X409" s="82"/>
      <c r="Y409" s="82"/>
      <c r="Z409" s="82"/>
      <c r="AA409" s="82"/>
      <c r="AB409" s="145"/>
      <c r="AC409" s="145"/>
      <c r="AD409" s="145"/>
      <c r="AE409" s="145"/>
      <c r="AF409" s="145"/>
      <c r="AG409" s="145"/>
      <c r="AH409" s="145"/>
      <c r="AI409" s="145"/>
      <c r="AJ409" s="145"/>
      <c r="AK409" s="145"/>
      <c r="AL409" s="145"/>
      <c r="AM409" s="145"/>
      <c r="AN409" s="145"/>
      <c r="AO409" s="145"/>
      <c r="AP409" s="145"/>
      <c r="AQ409" s="145"/>
      <c r="AR409" s="145"/>
      <c r="AS409" s="145"/>
      <c r="AT409" s="145"/>
      <c r="AU409" s="145"/>
      <c r="AV409" s="146"/>
      <c r="AW409" s="146"/>
      <c r="AX409" s="146"/>
      <c r="AY409" s="146"/>
      <c r="AZ409" s="145"/>
      <c r="BA409" s="146"/>
      <c r="BB409" s="145"/>
      <c r="BC409" s="145"/>
      <c r="BD409" s="145"/>
      <c r="BE409" s="145"/>
      <c r="BF409" s="145"/>
      <c r="BG409" s="145"/>
      <c r="BH409" s="145"/>
      <c r="BI409" s="145"/>
      <c r="BJ409" s="145"/>
      <c r="BK409" s="145"/>
    </row>
    <row r="410" spans="1:63" s="147" customFormat="1" ht="15" x14ac:dyDescent="0.25">
      <c r="A410" s="39" t="s">
        <v>611</v>
      </c>
      <c r="B410" s="97" t="s">
        <v>179</v>
      </c>
      <c r="C410" s="103" t="s">
        <v>180</v>
      </c>
      <c r="D410" s="103"/>
      <c r="E410" s="103"/>
      <c r="F410" s="103"/>
      <c r="G410" s="103"/>
      <c r="H410" s="41" t="s">
        <v>170</v>
      </c>
      <c r="I410" s="42">
        <f>I404</f>
        <v>2.8000000000000001E-2</v>
      </c>
      <c r="J410" s="43">
        <v>1</v>
      </c>
      <c r="K410" s="44">
        <f>K404</f>
        <v>2.8000000000000001E-2</v>
      </c>
      <c r="L410" s="49">
        <v>5719.62</v>
      </c>
      <c r="M410" s="62">
        <v>1.25</v>
      </c>
      <c r="N410" s="49">
        <v>7149.53</v>
      </c>
      <c r="O410" s="42"/>
      <c r="P410" s="50">
        <v>7862.8888888888887</v>
      </c>
      <c r="Q410" s="82"/>
      <c r="R410" s="82"/>
      <c r="S410" s="82"/>
      <c r="T410" s="82"/>
      <c r="U410" s="156"/>
      <c r="V410" s="82"/>
      <c r="W410" s="151"/>
      <c r="X410" s="82"/>
      <c r="Y410" s="82"/>
      <c r="Z410" s="82"/>
      <c r="AA410" s="82"/>
      <c r="AB410" s="145"/>
      <c r="AC410" s="145"/>
      <c r="AD410" s="145"/>
      <c r="AE410" s="145"/>
      <c r="AF410" s="145"/>
      <c r="AG410" s="145"/>
      <c r="AH410" s="145"/>
      <c r="AI410" s="145"/>
      <c r="AJ410" s="145"/>
      <c r="AK410" s="145"/>
      <c r="AL410" s="145"/>
      <c r="AM410" s="145"/>
      <c r="AN410" s="145"/>
      <c r="AO410" s="145"/>
      <c r="AP410" s="145"/>
      <c r="AQ410" s="145"/>
      <c r="AR410" s="145"/>
      <c r="AS410" s="145"/>
      <c r="AT410" s="145"/>
      <c r="AU410" s="145"/>
      <c r="AV410" s="146"/>
      <c r="AW410" s="146"/>
      <c r="AX410" s="146"/>
      <c r="AY410" s="146"/>
      <c r="AZ410" s="145"/>
      <c r="BA410" s="146"/>
      <c r="BB410" s="145"/>
      <c r="BC410" s="145"/>
      <c r="BD410" s="145"/>
      <c r="BE410" s="145"/>
      <c r="BF410" s="145"/>
      <c r="BG410" s="145"/>
      <c r="BH410" s="145"/>
      <c r="BI410" s="145"/>
      <c r="BJ410" s="145"/>
      <c r="BK410" s="145"/>
    </row>
    <row r="411" spans="1:63" s="147" customFormat="1" ht="15" x14ac:dyDescent="0.25">
      <c r="A411" s="59"/>
      <c r="B411" s="98"/>
      <c r="C411" s="102" t="s">
        <v>63</v>
      </c>
      <c r="D411" s="102"/>
      <c r="E411" s="102"/>
      <c r="F411" s="102"/>
      <c r="G411" s="102"/>
      <c r="H411" s="41"/>
      <c r="I411" s="42"/>
      <c r="J411" s="42"/>
      <c r="K411" s="42"/>
      <c r="L411" s="45"/>
      <c r="M411" s="42"/>
      <c r="N411" s="45"/>
      <c r="O411" s="42"/>
      <c r="P411" s="50">
        <v>7862.8888888888887</v>
      </c>
      <c r="Q411" s="82"/>
      <c r="R411" s="82"/>
      <c r="S411" s="82"/>
      <c r="T411" s="82"/>
      <c r="U411" s="156"/>
      <c r="V411" s="82"/>
      <c r="W411" s="166"/>
      <c r="X411" s="82"/>
      <c r="Y411" s="82"/>
      <c r="Z411" s="82"/>
      <c r="AA411" s="82"/>
      <c r="AB411" s="145"/>
      <c r="AC411" s="145"/>
      <c r="AD411" s="145"/>
      <c r="AE411" s="145"/>
      <c r="AF411" s="145"/>
      <c r="AG411" s="145"/>
      <c r="AH411" s="145"/>
      <c r="AI411" s="145"/>
      <c r="AJ411" s="145"/>
      <c r="AK411" s="145"/>
      <c r="AL411" s="145"/>
      <c r="AM411" s="145"/>
      <c r="AN411" s="145"/>
      <c r="AO411" s="145"/>
      <c r="AP411" s="145"/>
      <c r="AQ411" s="145"/>
      <c r="AR411" s="145"/>
      <c r="AS411" s="145"/>
      <c r="AT411" s="145"/>
      <c r="AU411" s="145"/>
      <c r="AV411" s="146"/>
      <c r="AW411" s="146"/>
      <c r="AX411" s="146"/>
      <c r="AY411" s="146"/>
      <c r="AZ411" s="145"/>
      <c r="BA411" s="146"/>
      <c r="BB411" s="145"/>
      <c r="BC411" s="145"/>
      <c r="BD411" s="145"/>
      <c r="BE411" s="145"/>
      <c r="BF411" s="145"/>
      <c r="BG411" s="145"/>
      <c r="BH411" s="145"/>
      <c r="BI411" s="145"/>
      <c r="BJ411" s="145"/>
      <c r="BK411" s="145"/>
    </row>
    <row r="412" spans="1:63" s="147" customFormat="1" ht="15" x14ac:dyDescent="0.25">
      <c r="A412" s="39" t="s">
        <v>612</v>
      </c>
      <c r="B412" s="97" t="s">
        <v>182</v>
      </c>
      <c r="C412" s="103" t="s">
        <v>183</v>
      </c>
      <c r="D412" s="103"/>
      <c r="E412" s="103"/>
      <c r="F412" s="103"/>
      <c r="G412" s="103"/>
      <c r="H412" s="41" t="s">
        <v>71</v>
      </c>
      <c r="I412" s="42">
        <v>2.7900600000000001E-2</v>
      </c>
      <c r="J412" s="43">
        <v>1</v>
      </c>
      <c r="K412" s="64">
        <v>2.7900600000000001E-2</v>
      </c>
      <c r="L412" s="49">
        <v>39438.35</v>
      </c>
      <c r="M412" s="62">
        <v>1.37</v>
      </c>
      <c r="N412" s="49">
        <v>54030.54</v>
      </c>
      <c r="O412" s="42"/>
      <c r="P412" s="50">
        <v>1733.6019999999999</v>
      </c>
      <c r="Q412" s="82"/>
      <c r="R412" s="82"/>
      <c r="S412" s="82"/>
      <c r="T412" s="82"/>
      <c r="U412" s="156"/>
      <c r="V412" s="82"/>
      <c r="W412" s="151"/>
      <c r="X412" s="82"/>
      <c r="Y412" s="82"/>
      <c r="Z412" s="82"/>
      <c r="AA412" s="82"/>
      <c r="AB412" s="145"/>
      <c r="AC412" s="145"/>
      <c r="AD412" s="145"/>
      <c r="AE412" s="145"/>
      <c r="AF412" s="145"/>
      <c r="AG412" s="145"/>
      <c r="AH412" s="145"/>
      <c r="AI412" s="145"/>
      <c r="AJ412" s="145"/>
      <c r="AK412" s="145"/>
      <c r="AL412" s="145"/>
      <c r="AM412" s="145"/>
      <c r="AN412" s="145"/>
      <c r="AO412" s="145"/>
      <c r="AP412" s="145"/>
      <c r="AQ412" s="145"/>
      <c r="AR412" s="145"/>
      <c r="AS412" s="145"/>
      <c r="AT412" s="145"/>
      <c r="AU412" s="145"/>
      <c r="AV412" s="146"/>
      <c r="AW412" s="146"/>
      <c r="AX412" s="146"/>
      <c r="AY412" s="146"/>
      <c r="AZ412" s="145"/>
      <c r="BA412" s="146"/>
      <c r="BB412" s="145"/>
      <c r="BC412" s="145"/>
      <c r="BD412" s="145"/>
      <c r="BE412" s="145"/>
      <c r="BF412" s="145"/>
      <c r="BG412" s="145"/>
      <c r="BH412" s="145"/>
      <c r="BI412" s="145"/>
      <c r="BJ412" s="145"/>
      <c r="BK412" s="145"/>
    </row>
    <row r="413" spans="1:63" s="147" customFormat="1" ht="15" x14ac:dyDescent="0.25">
      <c r="A413" s="59"/>
      <c r="B413" s="98"/>
      <c r="C413" s="102" t="s">
        <v>63</v>
      </c>
      <c r="D413" s="102"/>
      <c r="E413" s="102"/>
      <c r="F413" s="102"/>
      <c r="G413" s="102"/>
      <c r="H413" s="41"/>
      <c r="I413" s="42"/>
      <c r="J413" s="42"/>
      <c r="K413" s="42"/>
      <c r="L413" s="45"/>
      <c r="M413" s="42"/>
      <c r="N413" s="45"/>
      <c r="O413" s="42"/>
      <c r="P413" s="50">
        <v>1733.6019999999999</v>
      </c>
      <c r="Q413" s="82"/>
      <c r="R413" s="82"/>
      <c r="S413" s="82"/>
      <c r="T413" s="82"/>
      <c r="U413" s="156"/>
      <c r="V413" s="82"/>
      <c r="W413" s="169"/>
      <c r="X413" s="82"/>
      <c r="Y413" s="82"/>
      <c r="Z413" s="82"/>
      <c r="AA413" s="82"/>
      <c r="AB413" s="145"/>
      <c r="AC413" s="145"/>
      <c r="AD413" s="145"/>
      <c r="AE413" s="145"/>
      <c r="AF413" s="145"/>
      <c r="AG413" s="145"/>
      <c r="AH413" s="145"/>
      <c r="AI413" s="145"/>
      <c r="AJ413" s="145"/>
      <c r="AK413" s="145"/>
      <c r="AL413" s="145"/>
      <c r="AM413" s="145"/>
      <c r="AN413" s="145"/>
      <c r="AO413" s="145"/>
      <c r="AP413" s="145"/>
      <c r="AQ413" s="145"/>
      <c r="AR413" s="145"/>
      <c r="AS413" s="145"/>
      <c r="AT413" s="145"/>
      <c r="AU413" s="145"/>
      <c r="AV413" s="146"/>
      <c r="AW413" s="146"/>
      <c r="AX413" s="146"/>
      <c r="AY413" s="146"/>
      <c r="AZ413" s="145"/>
      <c r="BA413" s="146"/>
      <c r="BB413" s="145"/>
      <c r="BC413" s="145"/>
      <c r="BD413" s="145"/>
      <c r="BE413" s="145"/>
      <c r="BF413" s="145"/>
      <c r="BG413" s="145"/>
      <c r="BH413" s="145"/>
      <c r="BI413" s="145"/>
      <c r="BJ413" s="145"/>
      <c r="BK413" s="145"/>
    </row>
    <row r="414" spans="1:63" s="147" customFormat="1" ht="15" x14ac:dyDescent="0.25">
      <c r="A414" s="39" t="s">
        <v>526</v>
      </c>
      <c r="B414" s="97" t="s">
        <v>185</v>
      </c>
      <c r="C414" s="103" t="s">
        <v>186</v>
      </c>
      <c r="D414" s="103"/>
      <c r="E414" s="103"/>
      <c r="F414" s="103"/>
      <c r="G414" s="103"/>
      <c r="H414" s="41" t="s">
        <v>55</v>
      </c>
      <c r="I414" s="42">
        <v>0.1053</v>
      </c>
      <c r="J414" s="43">
        <v>1</v>
      </c>
      <c r="K414" s="44">
        <v>0.1053</v>
      </c>
      <c r="L414" s="45"/>
      <c r="M414" s="42"/>
      <c r="N414" s="45"/>
      <c r="O414" s="42"/>
      <c r="P414" s="50"/>
      <c r="Q414" s="82"/>
      <c r="R414" s="82"/>
      <c r="S414" s="82"/>
      <c r="T414" s="82"/>
      <c r="U414" s="153"/>
      <c r="V414" s="82"/>
      <c r="W414" s="151"/>
      <c r="X414" s="82"/>
      <c r="Y414" s="82"/>
      <c r="Z414" s="82"/>
      <c r="AA414" s="82"/>
      <c r="AB414" s="145"/>
      <c r="AC414" s="145"/>
      <c r="AD414" s="145"/>
      <c r="AE414" s="145"/>
      <c r="AF414" s="145"/>
      <c r="AG414" s="145"/>
      <c r="AH414" s="145"/>
      <c r="AI414" s="145"/>
      <c r="AJ414" s="145"/>
      <c r="AK414" s="145"/>
      <c r="AL414" s="145"/>
      <c r="AM414" s="145"/>
      <c r="AN414" s="145"/>
      <c r="AO414" s="145"/>
      <c r="AP414" s="145"/>
      <c r="AQ414" s="145"/>
      <c r="AR414" s="145"/>
      <c r="AS414" s="145"/>
      <c r="AT414" s="145"/>
      <c r="AU414" s="145"/>
      <c r="AV414" s="146"/>
      <c r="AW414" s="146"/>
      <c r="AX414" s="146"/>
      <c r="AY414" s="146"/>
      <c r="AZ414" s="145"/>
      <c r="BA414" s="146"/>
      <c r="BB414" s="145"/>
      <c r="BC414" s="145"/>
      <c r="BD414" s="145"/>
      <c r="BE414" s="145"/>
      <c r="BF414" s="145"/>
      <c r="BG414" s="145"/>
      <c r="BH414" s="145"/>
      <c r="BI414" s="145"/>
      <c r="BJ414" s="145"/>
      <c r="BK414" s="145"/>
    </row>
    <row r="415" spans="1:63" s="147" customFormat="1" ht="15" x14ac:dyDescent="0.25">
      <c r="A415" s="47"/>
      <c r="B415" s="48"/>
      <c r="C415" s="102" t="s">
        <v>56</v>
      </c>
      <c r="D415" s="102"/>
      <c r="E415" s="102"/>
      <c r="F415" s="102"/>
      <c r="G415" s="102"/>
      <c r="H415" s="41"/>
      <c r="I415" s="42"/>
      <c r="J415" s="42"/>
      <c r="K415" s="42"/>
      <c r="L415" s="45"/>
      <c r="M415" s="42"/>
      <c r="N415" s="49"/>
      <c r="O415" s="42"/>
      <c r="P415" s="50">
        <v>1740.1569999999999</v>
      </c>
      <c r="Q415" s="157"/>
      <c r="R415" s="157"/>
      <c r="S415" s="82"/>
      <c r="T415" s="82"/>
      <c r="U415" s="156"/>
      <c r="V415" s="82"/>
      <c r="W415" s="166"/>
      <c r="X415" s="82"/>
      <c r="Y415" s="82"/>
      <c r="Z415" s="82"/>
      <c r="AA415" s="82"/>
      <c r="AB415" s="145"/>
      <c r="AC415" s="145"/>
      <c r="AD415" s="145"/>
      <c r="AE415" s="145"/>
      <c r="AF415" s="145"/>
      <c r="AG415" s="145"/>
      <c r="AH415" s="145"/>
      <c r="AI415" s="145"/>
      <c r="AJ415" s="145"/>
      <c r="AK415" s="145"/>
      <c r="AL415" s="145"/>
      <c r="AM415" s="145"/>
      <c r="AN415" s="145"/>
      <c r="AO415" s="145"/>
      <c r="AP415" s="145"/>
      <c r="AQ415" s="145"/>
      <c r="AR415" s="145"/>
      <c r="AS415" s="145"/>
      <c r="AT415" s="145"/>
      <c r="AU415" s="145"/>
      <c r="AV415" s="146"/>
      <c r="AW415" s="146"/>
      <c r="AX415" s="146"/>
      <c r="AY415" s="146"/>
      <c r="AZ415" s="145"/>
      <c r="BA415" s="146"/>
      <c r="BB415" s="145"/>
      <c r="BC415" s="145"/>
      <c r="BD415" s="145"/>
      <c r="BE415" s="145"/>
      <c r="BF415" s="145"/>
      <c r="BG415" s="145"/>
      <c r="BH415" s="145"/>
      <c r="BI415" s="145"/>
      <c r="BJ415" s="145"/>
      <c r="BK415" s="145"/>
    </row>
    <row r="416" spans="1:63" s="147" customFormat="1" ht="15" x14ac:dyDescent="0.25">
      <c r="A416" s="52"/>
      <c r="B416" s="53"/>
      <c r="C416" s="104" t="s">
        <v>57</v>
      </c>
      <c r="D416" s="104"/>
      <c r="E416" s="104"/>
      <c r="F416" s="104"/>
      <c r="G416" s="104"/>
      <c r="H416" s="54"/>
      <c r="I416" s="55"/>
      <c r="J416" s="55"/>
      <c r="K416" s="55"/>
      <c r="L416" s="56"/>
      <c r="M416" s="55"/>
      <c r="N416" s="56"/>
      <c r="O416" s="55"/>
      <c r="P416" s="77">
        <v>1709.4749999999999</v>
      </c>
      <c r="Q416" s="82"/>
      <c r="R416" s="82"/>
      <c r="S416" s="82"/>
      <c r="T416" s="82"/>
      <c r="U416" s="163"/>
      <c r="V416" s="82"/>
      <c r="W416" s="151"/>
      <c r="X416" s="82"/>
      <c r="Y416" s="82"/>
      <c r="Z416" s="82"/>
      <c r="AA416" s="82"/>
      <c r="AB416" s="145"/>
      <c r="AC416" s="145"/>
      <c r="AD416" s="145"/>
      <c r="AE416" s="145"/>
      <c r="AF416" s="145"/>
      <c r="AG416" s="145"/>
      <c r="AH416" s="145"/>
      <c r="AI416" s="145"/>
      <c r="AJ416" s="145"/>
      <c r="AK416" s="145"/>
      <c r="AL416" s="145"/>
      <c r="AM416" s="145"/>
      <c r="AN416" s="145"/>
      <c r="AO416" s="145"/>
      <c r="AP416" s="145"/>
      <c r="AQ416" s="145"/>
      <c r="AR416" s="145"/>
      <c r="AS416" s="145"/>
      <c r="AT416" s="145"/>
      <c r="AU416" s="145"/>
      <c r="AV416" s="146"/>
      <c r="AW416" s="146"/>
      <c r="AX416" s="146"/>
      <c r="AY416" s="146"/>
      <c r="AZ416" s="145"/>
      <c r="BA416" s="146"/>
      <c r="BB416" s="145"/>
      <c r="BC416" s="145"/>
      <c r="BD416" s="145"/>
      <c r="BE416" s="145"/>
      <c r="BF416" s="145"/>
      <c r="BG416" s="145"/>
      <c r="BH416" s="145"/>
      <c r="BI416" s="145"/>
      <c r="BJ416" s="145"/>
      <c r="BK416" s="145"/>
    </row>
    <row r="417" spans="1:63" s="147" customFormat="1" ht="15" x14ac:dyDescent="0.25">
      <c r="A417" s="52"/>
      <c r="B417" s="53" t="s">
        <v>187</v>
      </c>
      <c r="C417" s="104" t="s">
        <v>188</v>
      </c>
      <c r="D417" s="104"/>
      <c r="E417" s="104"/>
      <c r="F417" s="104"/>
      <c r="G417" s="104"/>
      <c r="H417" s="54" t="s">
        <v>60</v>
      </c>
      <c r="I417" s="58">
        <v>112</v>
      </c>
      <c r="J417" s="55"/>
      <c r="K417" s="58">
        <v>112</v>
      </c>
      <c r="L417" s="56"/>
      <c r="M417" s="55"/>
      <c r="N417" s="56"/>
      <c r="O417" s="55"/>
      <c r="P417" s="77">
        <v>1914.6120000000001</v>
      </c>
      <c r="Q417" s="82"/>
      <c r="R417" s="82"/>
      <c r="S417" s="82"/>
      <c r="T417" s="82"/>
      <c r="U417" s="163"/>
      <c r="V417" s="82"/>
      <c r="W417" s="160"/>
      <c r="X417" s="82"/>
      <c r="Y417" s="82"/>
      <c r="Z417" s="82"/>
      <c r="AA417" s="82"/>
      <c r="AB417" s="145"/>
      <c r="AC417" s="145"/>
      <c r="AD417" s="145"/>
      <c r="AE417" s="145"/>
      <c r="AF417" s="145"/>
      <c r="AG417" s="145"/>
      <c r="AH417" s="145"/>
      <c r="AI417" s="145"/>
      <c r="AJ417" s="145"/>
      <c r="AK417" s="145"/>
      <c r="AL417" s="145"/>
      <c r="AM417" s="145"/>
      <c r="AN417" s="145"/>
      <c r="AO417" s="145"/>
      <c r="AP417" s="145"/>
      <c r="AQ417" s="145"/>
      <c r="AR417" s="145"/>
      <c r="AS417" s="145"/>
      <c r="AT417" s="145"/>
      <c r="AU417" s="145"/>
      <c r="AV417" s="146"/>
      <c r="AW417" s="146"/>
      <c r="AX417" s="146"/>
      <c r="AY417" s="146"/>
      <c r="AZ417" s="145"/>
      <c r="BA417" s="146"/>
      <c r="BB417" s="145"/>
      <c r="BC417" s="145"/>
      <c r="BD417" s="145"/>
      <c r="BE417" s="145"/>
      <c r="BF417" s="145"/>
      <c r="BG417" s="145"/>
      <c r="BH417" s="145"/>
      <c r="BI417" s="145"/>
      <c r="BJ417" s="145"/>
      <c r="BK417" s="145"/>
    </row>
    <row r="418" spans="1:63" s="147" customFormat="1" ht="15" x14ac:dyDescent="0.25">
      <c r="A418" s="52"/>
      <c r="B418" s="53" t="s">
        <v>189</v>
      </c>
      <c r="C418" s="104" t="s">
        <v>190</v>
      </c>
      <c r="D418" s="104"/>
      <c r="E418" s="104"/>
      <c r="F418" s="104"/>
      <c r="G418" s="104"/>
      <c r="H418" s="54" t="s">
        <v>60</v>
      </c>
      <c r="I418" s="58">
        <v>65</v>
      </c>
      <c r="J418" s="55"/>
      <c r="K418" s="58">
        <v>65</v>
      </c>
      <c r="L418" s="56"/>
      <c r="M418" s="55"/>
      <c r="N418" s="56"/>
      <c r="O418" s="55"/>
      <c r="P418" s="77">
        <v>1111.1644999999999</v>
      </c>
      <c r="Q418" s="82"/>
      <c r="R418" s="82"/>
      <c r="S418" s="82"/>
      <c r="T418" s="82"/>
      <c r="U418" s="170"/>
      <c r="V418" s="82"/>
      <c r="W418" s="164"/>
      <c r="X418" s="82"/>
      <c r="Y418" s="82"/>
      <c r="Z418" s="82"/>
      <c r="AA418" s="82"/>
      <c r="AB418" s="145"/>
      <c r="AC418" s="145"/>
      <c r="AD418" s="145"/>
      <c r="AE418" s="145"/>
      <c r="AF418" s="145"/>
      <c r="AG418" s="145"/>
      <c r="AH418" s="145"/>
      <c r="AI418" s="145"/>
      <c r="AJ418" s="145"/>
      <c r="AK418" s="145"/>
      <c r="AL418" s="145"/>
      <c r="AM418" s="145"/>
      <c r="AN418" s="145"/>
      <c r="AO418" s="145"/>
      <c r="AP418" s="145"/>
      <c r="AQ418" s="145"/>
      <c r="AR418" s="145"/>
      <c r="AS418" s="145"/>
      <c r="AT418" s="145"/>
      <c r="AU418" s="145"/>
      <c r="AV418" s="146"/>
      <c r="AW418" s="146"/>
      <c r="AX418" s="146"/>
      <c r="AY418" s="146"/>
      <c r="AZ418" s="145"/>
      <c r="BA418" s="146"/>
      <c r="BB418" s="145"/>
      <c r="BC418" s="145"/>
      <c r="BD418" s="145"/>
      <c r="BE418" s="145"/>
      <c r="BF418" s="145"/>
      <c r="BG418" s="145"/>
      <c r="BH418" s="145"/>
      <c r="BI418" s="145"/>
      <c r="BJ418" s="145"/>
      <c r="BK418" s="145"/>
    </row>
    <row r="419" spans="1:63" s="147" customFormat="1" ht="15" x14ac:dyDescent="0.25">
      <c r="A419" s="59"/>
      <c r="B419" s="98"/>
      <c r="C419" s="102" t="s">
        <v>63</v>
      </c>
      <c r="D419" s="102"/>
      <c r="E419" s="102"/>
      <c r="F419" s="102"/>
      <c r="G419" s="102"/>
      <c r="H419" s="41"/>
      <c r="I419" s="42"/>
      <c r="J419" s="42"/>
      <c r="K419" s="42"/>
      <c r="L419" s="45"/>
      <c r="M419" s="42"/>
      <c r="N419" s="49">
        <v>35330.69</v>
      </c>
      <c r="O419" s="42"/>
      <c r="P419" s="50">
        <v>4765.9334999999992</v>
      </c>
      <c r="Q419" s="82"/>
      <c r="R419" s="82"/>
      <c r="S419" s="82"/>
      <c r="T419" s="82"/>
      <c r="U419" s="156"/>
      <c r="V419" s="82"/>
      <c r="W419" s="164"/>
      <c r="X419" s="82"/>
      <c r="Y419" s="82"/>
      <c r="Z419" s="82"/>
      <c r="AA419" s="82"/>
      <c r="AB419" s="145"/>
      <c r="AC419" s="145"/>
      <c r="AD419" s="145"/>
      <c r="AE419" s="145"/>
      <c r="AF419" s="145"/>
      <c r="AG419" s="145"/>
      <c r="AH419" s="145"/>
      <c r="AI419" s="145"/>
      <c r="AJ419" s="145"/>
      <c r="AK419" s="145"/>
      <c r="AL419" s="145"/>
      <c r="AM419" s="145"/>
      <c r="AN419" s="145"/>
      <c r="AO419" s="145"/>
      <c r="AP419" s="145"/>
      <c r="AQ419" s="145"/>
      <c r="AR419" s="145"/>
      <c r="AS419" s="145"/>
      <c r="AT419" s="145"/>
      <c r="AU419" s="145"/>
      <c r="AV419" s="146"/>
      <c r="AW419" s="146"/>
      <c r="AX419" s="146"/>
      <c r="AY419" s="146"/>
      <c r="AZ419" s="145"/>
      <c r="BA419" s="146"/>
      <c r="BB419" s="145"/>
      <c r="BC419" s="145"/>
      <c r="BD419" s="145"/>
      <c r="BE419" s="145"/>
      <c r="BF419" s="145"/>
      <c r="BG419" s="145"/>
      <c r="BH419" s="145"/>
      <c r="BI419" s="145"/>
      <c r="BJ419" s="145"/>
      <c r="BK419" s="145"/>
    </row>
    <row r="420" spans="1:63" s="147" customFormat="1" ht="15" x14ac:dyDescent="0.25">
      <c r="A420" s="39" t="s">
        <v>613</v>
      </c>
      <c r="B420" s="97" t="s">
        <v>192</v>
      </c>
      <c r="C420" s="103" t="s">
        <v>193</v>
      </c>
      <c r="D420" s="103"/>
      <c r="E420" s="103"/>
      <c r="F420" s="103"/>
      <c r="G420" s="103"/>
      <c r="H420" s="41" t="s">
        <v>170</v>
      </c>
      <c r="I420" s="42">
        <v>0.239292</v>
      </c>
      <c r="J420" s="43">
        <v>1</v>
      </c>
      <c r="K420" s="68">
        <v>0.239292</v>
      </c>
      <c r="L420" s="45"/>
      <c r="M420" s="42"/>
      <c r="N420" s="49">
        <v>6212.75</v>
      </c>
      <c r="O420" s="42"/>
      <c r="P420" s="50">
        <v>1709.6589999999999</v>
      </c>
      <c r="Q420" s="82"/>
      <c r="R420" s="82"/>
      <c r="S420" s="82"/>
      <c r="T420" s="82"/>
      <c r="U420" s="156"/>
      <c r="V420" s="82"/>
      <c r="W420" s="151"/>
      <c r="X420" s="82"/>
      <c r="Y420" s="82"/>
      <c r="Z420" s="82"/>
      <c r="AA420" s="82"/>
      <c r="AB420" s="145"/>
      <c r="AC420" s="145"/>
      <c r="AD420" s="145"/>
      <c r="AE420" s="145"/>
      <c r="AF420" s="145"/>
      <c r="AG420" s="145"/>
      <c r="AH420" s="145"/>
      <c r="AI420" s="145"/>
      <c r="AJ420" s="145"/>
      <c r="AK420" s="145"/>
      <c r="AL420" s="145"/>
      <c r="AM420" s="145"/>
      <c r="AN420" s="145"/>
      <c r="AO420" s="145"/>
      <c r="AP420" s="145"/>
      <c r="AQ420" s="145"/>
      <c r="AR420" s="145"/>
      <c r="AS420" s="145"/>
      <c r="AT420" s="145"/>
      <c r="AU420" s="145"/>
      <c r="AV420" s="146"/>
      <c r="AW420" s="146"/>
      <c r="AX420" s="146"/>
      <c r="AY420" s="146"/>
      <c r="AZ420" s="145"/>
      <c r="BA420" s="146"/>
      <c r="BB420" s="145"/>
      <c r="BC420" s="145"/>
      <c r="BD420" s="145"/>
      <c r="BE420" s="145"/>
      <c r="BF420" s="145"/>
      <c r="BG420" s="145"/>
      <c r="BH420" s="145"/>
      <c r="BI420" s="145"/>
      <c r="BJ420" s="145"/>
      <c r="BK420" s="145"/>
    </row>
    <row r="421" spans="1:63" s="147" customFormat="1" ht="15" x14ac:dyDescent="0.25">
      <c r="A421" s="59"/>
      <c r="B421" s="98"/>
      <c r="C421" s="102" t="s">
        <v>63</v>
      </c>
      <c r="D421" s="102"/>
      <c r="E421" s="102"/>
      <c r="F421" s="102"/>
      <c r="G421" s="102"/>
      <c r="H421" s="41"/>
      <c r="I421" s="42"/>
      <c r="J421" s="42"/>
      <c r="K421" s="42"/>
      <c r="L421" s="45"/>
      <c r="M421" s="42"/>
      <c r="N421" s="45"/>
      <c r="O421" s="42"/>
      <c r="P421" s="50">
        <v>1709.6589999999999</v>
      </c>
      <c r="Q421" s="82"/>
      <c r="R421" s="82"/>
      <c r="S421" s="82"/>
      <c r="T421" s="82"/>
      <c r="U421" s="156"/>
      <c r="V421" s="82"/>
      <c r="W421" s="176"/>
      <c r="X421" s="82"/>
      <c r="Y421" s="82"/>
      <c r="Z421" s="82"/>
      <c r="AA421" s="82"/>
      <c r="AB421" s="145"/>
      <c r="AC421" s="145"/>
      <c r="AD421" s="145"/>
      <c r="AE421" s="145"/>
      <c r="AF421" s="145"/>
      <c r="AG421" s="145"/>
      <c r="AH421" s="145"/>
      <c r="AI421" s="145"/>
      <c r="AJ421" s="145"/>
      <c r="AK421" s="145"/>
      <c r="AL421" s="145"/>
      <c r="AM421" s="145"/>
      <c r="AN421" s="145"/>
      <c r="AO421" s="145"/>
      <c r="AP421" s="145"/>
      <c r="AQ421" s="145"/>
      <c r="AR421" s="145"/>
      <c r="AS421" s="145"/>
      <c r="AT421" s="145"/>
      <c r="AU421" s="145"/>
      <c r="AV421" s="146"/>
      <c r="AW421" s="146"/>
      <c r="AX421" s="146"/>
      <c r="AY421" s="146"/>
      <c r="AZ421" s="145"/>
      <c r="BA421" s="146"/>
      <c r="BB421" s="145"/>
      <c r="BC421" s="145"/>
      <c r="BD421" s="145"/>
      <c r="BE421" s="145"/>
      <c r="BF421" s="145"/>
      <c r="BG421" s="145"/>
      <c r="BH421" s="145"/>
      <c r="BI421" s="145"/>
      <c r="BJ421" s="145"/>
      <c r="BK421" s="145"/>
    </row>
    <row r="422" spans="1:63" s="147" customFormat="1" ht="15" x14ac:dyDescent="0.25">
      <c r="A422" s="39" t="s">
        <v>614</v>
      </c>
      <c r="B422" s="97" t="s">
        <v>195</v>
      </c>
      <c r="C422" s="103" t="s">
        <v>196</v>
      </c>
      <c r="D422" s="103"/>
      <c r="E422" s="103"/>
      <c r="F422" s="103"/>
      <c r="G422" s="103"/>
      <c r="H422" s="41" t="s">
        <v>55</v>
      </c>
      <c r="I422" s="42">
        <v>0.1053</v>
      </c>
      <c r="J422" s="43">
        <v>1</v>
      </c>
      <c r="K422" s="44">
        <v>0.1053</v>
      </c>
      <c r="L422" s="45"/>
      <c r="M422" s="42"/>
      <c r="N422" s="45"/>
      <c r="O422" s="42"/>
      <c r="P422" s="50"/>
      <c r="Q422" s="82"/>
      <c r="R422" s="82"/>
      <c r="S422" s="82"/>
      <c r="T422" s="82"/>
      <c r="U422" s="153"/>
      <c r="V422" s="82"/>
      <c r="W422" s="151"/>
      <c r="X422" s="82"/>
      <c r="Y422" s="82"/>
      <c r="Z422" s="82"/>
      <c r="AA422" s="82"/>
      <c r="AB422" s="145"/>
      <c r="AC422" s="145"/>
      <c r="AD422" s="145"/>
      <c r="AE422" s="145"/>
      <c r="AF422" s="145"/>
      <c r="AG422" s="145"/>
      <c r="AH422" s="145"/>
      <c r="AI422" s="145"/>
      <c r="AJ422" s="145"/>
      <c r="AK422" s="145"/>
      <c r="AL422" s="145"/>
      <c r="AM422" s="145"/>
      <c r="AN422" s="145"/>
      <c r="AO422" s="145"/>
      <c r="AP422" s="145"/>
      <c r="AQ422" s="145"/>
      <c r="AR422" s="145"/>
      <c r="AS422" s="145"/>
      <c r="AT422" s="145"/>
      <c r="AU422" s="145"/>
      <c r="AV422" s="146"/>
      <c r="AW422" s="146"/>
      <c r="AX422" s="146"/>
      <c r="AY422" s="146"/>
      <c r="AZ422" s="145"/>
      <c r="BA422" s="146"/>
      <c r="BB422" s="145"/>
      <c r="BC422" s="145"/>
      <c r="BD422" s="145"/>
      <c r="BE422" s="145"/>
      <c r="BF422" s="145"/>
      <c r="BG422" s="145"/>
      <c r="BH422" s="145"/>
      <c r="BI422" s="145"/>
      <c r="BJ422" s="145"/>
      <c r="BK422" s="145"/>
    </row>
    <row r="423" spans="1:63" s="147" customFormat="1" ht="15" x14ac:dyDescent="0.25">
      <c r="A423" s="47"/>
      <c r="B423" s="48"/>
      <c r="C423" s="102" t="s">
        <v>56</v>
      </c>
      <c r="D423" s="102"/>
      <c r="E423" s="102"/>
      <c r="F423" s="102"/>
      <c r="G423" s="102"/>
      <c r="H423" s="41"/>
      <c r="I423" s="42"/>
      <c r="J423" s="42"/>
      <c r="K423" s="42"/>
      <c r="L423" s="45"/>
      <c r="M423" s="42"/>
      <c r="N423" s="49"/>
      <c r="O423" s="42"/>
      <c r="P423" s="90">
        <v>206.03399999999999</v>
      </c>
      <c r="Q423" s="157"/>
      <c r="R423" s="157"/>
      <c r="S423" s="82"/>
      <c r="T423" s="82"/>
      <c r="U423" s="156"/>
      <c r="V423" s="82"/>
      <c r="W423" s="166"/>
      <c r="X423" s="82"/>
      <c r="Y423" s="82"/>
      <c r="Z423" s="82"/>
      <c r="AA423" s="82"/>
      <c r="AB423" s="145"/>
      <c r="AC423" s="145"/>
      <c r="AD423" s="145"/>
      <c r="AE423" s="145"/>
      <c r="AF423" s="145"/>
      <c r="AG423" s="145"/>
      <c r="AH423" s="145"/>
      <c r="AI423" s="145"/>
      <c r="AJ423" s="145"/>
      <c r="AK423" s="145"/>
      <c r="AL423" s="145"/>
      <c r="AM423" s="145"/>
      <c r="AN423" s="145"/>
      <c r="AO423" s="145"/>
      <c r="AP423" s="145"/>
      <c r="AQ423" s="145"/>
      <c r="AR423" s="145"/>
      <c r="AS423" s="145"/>
      <c r="AT423" s="145"/>
      <c r="AU423" s="145"/>
      <c r="AV423" s="146"/>
      <c r="AW423" s="146"/>
      <c r="AX423" s="146"/>
      <c r="AY423" s="146"/>
      <c r="AZ423" s="145"/>
      <c r="BA423" s="146"/>
      <c r="BB423" s="145"/>
      <c r="BC423" s="145"/>
      <c r="BD423" s="145"/>
      <c r="BE423" s="145"/>
      <c r="BF423" s="145"/>
      <c r="BG423" s="145"/>
      <c r="BH423" s="145"/>
      <c r="BI423" s="145"/>
      <c r="BJ423" s="145"/>
      <c r="BK423" s="145"/>
    </row>
    <row r="424" spans="1:63" s="147" customFormat="1" ht="15" x14ac:dyDescent="0.25">
      <c r="A424" s="52"/>
      <c r="B424" s="53"/>
      <c r="C424" s="104" t="s">
        <v>57</v>
      </c>
      <c r="D424" s="104"/>
      <c r="E424" s="104"/>
      <c r="F424" s="104"/>
      <c r="G424" s="104"/>
      <c r="H424" s="54"/>
      <c r="I424" s="55"/>
      <c r="J424" s="55"/>
      <c r="K424" s="55"/>
      <c r="L424" s="56"/>
      <c r="M424" s="55"/>
      <c r="N424" s="56"/>
      <c r="O424" s="55"/>
      <c r="P424" s="77">
        <v>184.57499999999999</v>
      </c>
      <c r="Q424" s="82"/>
      <c r="R424" s="82"/>
      <c r="S424" s="82"/>
      <c r="T424" s="82"/>
      <c r="U424" s="170"/>
      <c r="V424" s="82"/>
      <c r="W424" s="151"/>
      <c r="X424" s="82"/>
      <c r="Y424" s="82"/>
      <c r="Z424" s="82"/>
      <c r="AA424" s="82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5"/>
      <c r="AM424" s="145"/>
      <c r="AN424" s="145"/>
      <c r="AO424" s="145"/>
      <c r="AP424" s="145"/>
      <c r="AQ424" s="145"/>
      <c r="AR424" s="145"/>
      <c r="AS424" s="145"/>
      <c r="AT424" s="145"/>
      <c r="AU424" s="145"/>
      <c r="AV424" s="146"/>
      <c r="AW424" s="146"/>
      <c r="AX424" s="146"/>
      <c r="AY424" s="146"/>
      <c r="AZ424" s="145"/>
      <c r="BA424" s="146"/>
      <c r="BB424" s="145"/>
      <c r="BC424" s="145"/>
      <c r="BD424" s="145"/>
      <c r="BE424" s="145"/>
      <c r="BF424" s="145"/>
      <c r="BG424" s="145"/>
      <c r="BH424" s="145"/>
      <c r="BI424" s="145"/>
      <c r="BJ424" s="145"/>
      <c r="BK424" s="145"/>
    </row>
    <row r="425" spans="1:63" s="147" customFormat="1" ht="15" x14ac:dyDescent="0.25">
      <c r="A425" s="52"/>
      <c r="B425" s="53" t="s">
        <v>187</v>
      </c>
      <c r="C425" s="104" t="s">
        <v>188</v>
      </c>
      <c r="D425" s="104"/>
      <c r="E425" s="104"/>
      <c r="F425" s="104"/>
      <c r="G425" s="104"/>
      <c r="H425" s="54" t="s">
        <v>60</v>
      </c>
      <c r="I425" s="58">
        <v>112</v>
      </c>
      <c r="J425" s="55"/>
      <c r="K425" s="58">
        <v>112</v>
      </c>
      <c r="L425" s="56"/>
      <c r="M425" s="55"/>
      <c r="N425" s="56"/>
      <c r="O425" s="55"/>
      <c r="P425" s="77">
        <v>206.72399999999996</v>
      </c>
      <c r="Q425" s="82"/>
      <c r="R425" s="82"/>
      <c r="S425" s="82"/>
      <c r="T425" s="82"/>
      <c r="U425" s="170"/>
      <c r="V425" s="82"/>
      <c r="W425" s="160"/>
      <c r="X425" s="82"/>
      <c r="Y425" s="82"/>
      <c r="Z425" s="82"/>
      <c r="AA425" s="82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5"/>
      <c r="AM425" s="145"/>
      <c r="AN425" s="145"/>
      <c r="AO425" s="145"/>
      <c r="AP425" s="145"/>
      <c r="AQ425" s="145"/>
      <c r="AR425" s="145"/>
      <c r="AS425" s="145"/>
      <c r="AT425" s="145"/>
      <c r="AU425" s="145"/>
      <c r="AV425" s="146"/>
      <c r="AW425" s="146"/>
      <c r="AX425" s="146"/>
      <c r="AY425" s="146"/>
      <c r="AZ425" s="145"/>
      <c r="BA425" s="146"/>
      <c r="BB425" s="145"/>
      <c r="BC425" s="145"/>
      <c r="BD425" s="145"/>
      <c r="BE425" s="145"/>
      <c r="BF425" s="145"/>
      <c r="BG425" s="145"/>
      <c r="BH425" s="145"/>
      <c r="BI425" s="145"/>
      <c r="BJ425" s="145"/>
      <c r="BK425" s="145"/>
    </row>
    <row r="426" spans="1:63" s="147" customFormat="1" ht="15" x14ac:dyDescent="0.25">
      <c r="A426" s="52"/>
      <c r="B426" s="53" t="s">
        <v>189</v>
      </c>
      <c r="C426" s="104" t="s">
        <v>190</v>
      </c>
      <c r="D426" s="104"/>
      <c r="E426" s="104"/>
      <c r="F426" s="104"/>
      <c r="G426" s="104"/>
      <c r="H426" s="54" t="s">
        <v>60</v>
      </c>
      <c r="I426" s="58">
        <v>65</v>
      </c>
      <c r="J426" s="55"/>
      <c r="K426" s="58">
        <v>65</v>
      </c>
      <c r="L426" s="56"/>
      <c r="M426" s="55"/>
      <c r="N426" s="56"/>
      <c r="O426" s="55"/>
      <c r="P426" s="77">
        <v>119.97949999999999</v>
      </c>
      <c r="Q426" s="82"/>
      <c r="R426" s="82"/>
      <c r="S426" s="82"/>
      <c r="T426" s="82"/>
      <c r="U426" s="170"/>
      <c r="V426" s="82"/>
      <c r="W426" s="164"/>
      <c r="X426" s="82"/>
      <c r="Y426" s="82"/>
      <c r="Z426" s="82"/>
      <c r="AA426" s="82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5"/>
      <c r="AM426" s="145"/>
      <c r="AN426" s="145"/>
      <c r="AO426" s="145"/>
      <c r="AP426" s="145"/>
      <c r="AQ426" s="145"/>
      <c r="AR426" s="145"/>
      <c r="AS426" s="145"/>
      <c r="AT426" s="145"/>
      <c r="AU426" s="145"/>
      <c r="AV426" s="146"/>
      <c r="AW426" s="146"/>
      <c r="AX426" s="146"/>
      <c r="AY426" s="146"/>
      <c r="AZ426" s="145"/>
      <c r="BA426" s="146"/>
      <c r="BB426" s="145"/>
      <c r="BC426" s="145"/>
      <c r="BD426" s="145"/>
      <c r="BE426" s="145"/>
      <c r="BF426" s="145"/>
      <c r="BG426" s="145"/>
      <c r="BH426" s="145"/>
      <c r="BI426" s="145"/>
      <c r="BJ426" s="145"/>
      <c r="BK426" s="145"/>
    </row>
    <row r="427" spans="1:63" s="147" customFormat="1" ht="15" x14ac:dyDescent="0.25">
      <c r="A427" s="59"/>
      <c r="B427" s="98"/>
      <c r="C427" s="102" t="s">
        <v>63</v>
      </c>
      <c r="D427" s="102"/>
      <c r="E427" s="102"/>
      <c r="F427" s="102"/>
      <c r="G427" s="102"/>
      <c r="H427" s="41"/>
      <c r="I427" s="42"/>
      <c r="J427" s="42"/>
      <c r="K427" s="42"/>
      <c r="L427" s="45"/>
      <c r="M427" s="42"/>
      <c r="N427" s="49">
        <v>3949.28</v>
      </c>
      <c r="O427" s="42"/>
      <c r="P427" s="50">
        <v>532.73749999999995</v>
      </c>
      <c r="Q427" s="82"/>
      <c r="R427" s="82"/>
      <c r="S427" s="82"/>
      <c r="T427" s="82"/>
      <c r="U427" s="167"/>
      <c r="V427" s="82"/>
      <c r="W427" s="164"/>
      <c r="X427" s="82"/>
      <c r="Y427" s="82"/>
      <c r="Z427" s="82"/>
      <c r="AA427" s="82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5"/>
      <c r="AM427" s="145"/>
      <c r="AN427" s="145"/>
      <c r="AO427" s="145"/>
      <c r="AP427" s="145"/>
      <c r="AQ427" s="145"/>
      <c r="AR427" s="145"/>
      <c r="AS427" s="145"/>
      <c r="AT427" s="145"/>
      <c r="AU427" s="145"/>
      <c r="AV427" s="146"/>
      <c r="AW427" s="146"/>
      <c r="AX427" s="146"/>
      <c r="AY427" s="146"/>
      <c r="AZ427" s="145"/>
      <c r="BA427" s="146"/>
      <c r="BB427" s="145"/>
      <c r="BC427" s="145"/>
      <c r="BD427" s="145"/>
      <c r="BE427" s="145"/>
      <c r="BF427" s="145"/>
      <c r="BG427" s="145"/>
      <c r="BH427" s="145"/>
      <c r="BI427" s="145"/>
      <c r="BJ427" s="145"/>
      <c r="BK427" s="145"/>
    </row>
    <row r="428" spans="1:63" s="147" customFormat="1" ht="15" x14ac:dyDescent="0.25">
      <c r="A428" s="39" t="s">
        <v>409</v>
      </c>
      <c r="B428" s="97" t="s">
        <v>192</v>
      </c>
      <c r="C428" s="103" t="s">
        <v>193</v>
      </c>
      <c r="D428" s="103"/>
      <c r="E428" s="103"/>
      <c r="F428" s="103"/>
      <c r="G428" s="103"/>
      <c r="H428" s="41" t="s">
        <v>170</v>
      </c>
      <c r="I428" s="42">
        <v>0.35893799999999998</v>
      </c>
      <c r="J428" s="43">
        <v>1</v>
      </c>
      <c r="K428" s="68">
        <v>0.35893799999999998</v>
      </c>
      <c r="L428" s="45"/>
      <c r="M428" s="42"/>
      <c r="N428" s="49">
        <v>6212.75</v>
      </c>
      <c r="O428" s="42"/>
      <c r="P428" s="50">
        <v>3714.4884999999995</v>
      </c>
      <c r="Q428" s="82"/>
      <c r="R428" s="82"/>
      <c r="S428" s="82"/>
      <c r="T428" s="82"/>
      <c r="U428" s="156"/>
      <c r="V428" s="82"/>
      <c r="W428" s="151"/>
      <c r="X428" s="82"/>
      <c r="Y428" s="82"/>
      <c r="Z428" s="82"/>
      <c r="AA428" s="82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5"/>
      <c r="AM428" s="145"/>
      <c r="AN428" s="145"/>
      <c r="AO428" s="145"/>
      <c r="AP428" s="145"/>
      <c r="AQ428" s="145"/>
      <c r="AR428" s="145"/>
      <c r="AS428" s="145"/>
      <c r="AT428" s="145"/>
      <c r="AU428" s="145"/>
      <c r="AV428" s="146"/>
      <c r="AW428" s="146"/>
      <c r="AX428" s="146"/>
      <c r="AY428" s="146"/>
      <c r="AZ428" s="145"/>
      <c r="BA428" s="146"/>
      <c r="BB428" s="145"/>
      <c r="BC428" s="145"/>
      <c r="BD428" s="145"/>
      <c r="BE428" s="145"/>
      <c r="BF428" s="145"/>
      <c r="BG428" s="145"/>
      <c r="BH428" s="145"/>
      <c r="BI428" s="145"/>
      <c r="BJ428" s="145"/>
      <c r="BK428" s="145"/>
    </row>
    <row r="429" spans="1:63" s="147" customFormat="1" ht="15" x14ac:dyDescent="0.25">
      <c r="A429" s="59"/>
      <c r="B429" s="98"/>
      <c r="C429" s="102" t="s">
        <v>63</v>
      </c>
      <c r="D429" s="102"/>
      <c r="E429" s="102"/>
      <c r="F429" s="102"/>
      <c r="G429" s="102"/>
      <c r="H429" s="41"/>
      <c r="I429" s="42"/>
      <c r="J429" s="42"/>
      <c r="K429" s="42"/>
      <c r="L429" s="45"/>
      <c r="M429" s="42"/>
      <c r="N429" s="45"/>
      <c r="O429" s="42"/>
      <c r="P429" s="50">
        <v>3714.4884999999995</v>
      </c>
      <c r="Q429" s="82"/>
      <c r="R429" s="82"/>
      <c r="S429" s="82"/>
      <c r="T429" s="82"/>
      <c r="U429" s="156"/>
      <c r="V429" s="82"/>
      <c r="W429" s="176"/>
      <c r="X429" s="82"/>
      <c r="Y429" s="82"/>
      <c r="Z429" s="82"/>
      <c r="AA429" s="82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5"/>
      <c r="AM429" s="145"/>
      <c r="AN429" s="145"/>
      <c r="AO429" s="145"/>
      <c r="AP429" s="145"/>
      <c r="AQ429" s="145"/>
      <c r="AR429" s="145"/>
      <c r="AS429" s="145"/>
      <c r="AT429" s="145"/>
      <c r="AU429" s="145"/>
      <c r="AV429" s="146"/>
      <c r="AW429" s="146"/>
      <c r="AX429" s="146"/>
      <c r="AY429" s="146"/>
      <c r="AZ429" s="145"/>
      <c r="BA429" s="146"/>
      <c r="BB429" s="145"/>
      <c r="BC429" s="145"/>
      <c r="BD429" s="145"/>
      <c r="BE429" s="145"/>
      <c r="BF429" s="145"/>
      <c r="BG429" s="145"/>
      <c r="BH429" s="145"/>
      <c r="BI429" s="145"/>
      <c r="BJ429" s="145"/>
      <c r="BK429" s="145"/>
    </row>
    <row r="430" spans="1:63" s="147" customFormat="1" ht="15" x14ac:dyDescent="0.25">
      <c r="A430" s="39" t="s">
        <v>615</v>
      </c>
      <c r="B430" s="97" t="s">
        <v>199</v>
      </c>
      <c r="C430" s="103" t="s">
        <v>200</v>
      </c>
      <c r="D430" s="103"/>
      <c r="E430" s="103"/>
      <c r="F430" s="103"/>
      <c r="G430" s="103"/>
      <c r="H430" s="41" t="s">
        <v>55</v>
      </c>
      <c r="I430" s="42">
        <v>0.1053</v>
      </c>
      <c r="J430" s="43">
        <v>1</v>
      </c>
      <c r="K430" s="44">
        <v>0.1053</v>
      </c>
      <c r="L430" s="45"/>
      <c r="M430" s="42"/>
      <c r="N430" s="45"/>
      <c r="O430" s="42"/>
      <c r="P430" s="50"/>
      <c r="Q430" s="82"/>
      <c r="R430" s="82"/>
      <c r="S430" s="82"/>
      <c r="T430" s="82"/>
      <c r="U430" s="153"/>
      <c r="V430" s="82"/>
      <c r="W430" s="151"/>
      <c r="X430" s="82"/>
      <c r="Y430" s="82"/>
      <c r="Z430" s="82"/>
      <c r="AA430" s="82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5"/>
      <c r="AM430" s="145"/>
      <c r="AN430" s="145"/>
      <c r="AO430" s="145"/>
      <c r="AP430" s="145"/>
      <c r="AQ430" s="145"/>
      <c r="AR430" s="145"/>
      <c r="AS430" s="145"/>
      <c r="AT430" s="145"/>
      <c r="AU430" s="145"/>
      <c r="AV430" s="146"/>
      <c r="AW430" s="146"/>
      <c r="AX430" s="146"/>
      <c r="AY430" s="146"/>
      <c r="AZ430" s="145"/>
      <c r="BA430" s="146"/>
      <c r="BB430" s="145"/>
      <c r="BC430" s="145"/>
      <c r="BD430" s="145"/>
      <c r="BE430" s="145"/>
      <c r="BF430" s="145"/>
      <c r="BG430" s="145"/>
      <c r="BH430" s="145"/>
      <c r="BI430" s="145"/>
      <c r="BJ430" s="145"/>
      <c r="BK430" s="145"/>
    </row>
    <row r="431" spans="1:63" s="147" customFormat="1" ht="15" x14ac:dyDescent="0.25">
      <c r="A431" s="47"/>
      <c r="B431" s="48"/>
      <c r="C431" s="102" t="s">
        <v>56</v>
      </c>
      <c r="D431" s="102"/>
      <c r="E431" s="102"/>
      <c r="F431" s="102"/>
      <c r="G431" s="102"/>
      <c r="H431" s="41"/>
      <c r="I431" s="42"/>
      <c r="J431" s="42"/>
      <c r="K431" s="42"/>
      <c r="L431" s="45"/>
      <c r="M431" s="42"/>
      <c r="N431" s="49"/>
      <c r="O431" s="42"/>
      <c r="P431" s="50">
        <v>20427.219999999998</v>
      </c>
      <c r="Q431" s="157"/>
      <c r="R431" s="157"/>
      <c r="S431" s="82"/>
      <c r="T431" s="82"/>
      <c r="U431" s="156"/>
      <c r="V431" s="82"/>
      <c r="W431" s="166"/>
      <c r="X431" s="82"/>
      <c r="Y431" s="82"/>
      <c r="Z431" s="82"/>
      <c r="AA431" s="82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5"/>
      <c r="AM431" s="145"/>
      <c r="AN431" s="145"/>
      <c r="AO431" s="145"/>
      <c r="AP431" s="145"/>
      <c r="AQ431" s="145"/>
      <c r="AR431" s="145"/>
      <c r="AS431" s="145"/>
      <c r="AT431" s="145"/>
      <c r="AU431" s="145"/>
      <c r="AV431" s="146"/>
      <c r="AW431" s="146"/>
      <c r="AX431" s="146"/>
      <c r="AY431" s="146"/>
      <c r="AZ431" s="145"/>
      <c r="BA431" s="146"/>
      <c r="BB431" s="145"/>
      <c r="BC431" s="145"/>
      <c r="BD431" s="145"/>
      <c r="BE431" s="145"/>
      <c r="BF431" s="145"/>
      <c r="BG431" s="145"/>
      <c r="BH431" s="145"/>
      <c r="BI431" s="145"/>
      <c r="BJ431" s="145"/>
      <c r="BK431" s="145"/>
    </row>
    <row r="432" spans="1:63" s="147" customFormat="1" ht="15" x14ac:dyDescent="0.25">
      <c r="A432" s="52"/>
      <c r="B432" s="53"/>
      <c r="C432" s="104" t="s">
        <v>57</v>
      </c>
      <c r="D432" s="104"/>
      <c r="E432" s="104"/>
      <c r="F432" s="104"/>
      <c r="G432" s="104"/>
      <c r="H432" s="54"/>
      <c r="I432" s="55"/>
      <c r="J432" s="55"/>
      <c r="K432" s="55"/>
      <c r="L432" s="56"/>
      <c r="M432" s="55"/>
      <c r="N432" s="56"/>
      <c r="O432" s="55"/>
      <c r="P432" s="77">
        <v>20289.035999999996</v>
      </c>
      <c r="Q432" s="82"/>
      <c r="R432" s="82"/>
      <c r="S432" s="82"/>
      <c r="T432" s="82"/>
      <c r="U432" s="163"/>
      <c r="V432" s="82"/>
      <c r="W432" s="151"/>
      <c r="X432" s="82"/>
      <c r="Y432" s="82"/>
      <c r="Z432" s="82"/>
      <c r="AA432" s="82"/>
      <c r="AB432" s="145"/>
      <c r="AC432" s="145"/>
      <c r="AD432" s="145"/>
      <c r="AE432" s="145"/>
      <c r="AF432" s="145"/>
      <c r="AG432" s="145"/>
      <c r="AH432" s="145"/>
      <c r="AI432" s="145"/>
      <c r="AJ432" s="145"/>
      <c r="AK432" s="145"/>
      <c r="AL432" s="145"/>
      <c r="AM432" s="145"/>
      <c r="AN432" s="145"/>
      <c r="AO432" s="145"/>
      <c r="AP432" s="145"/>
      <c r="AQ432" s="145"/>
      <c r="AR432" s="145"/>
      <c r="AS432" s="145"/>
      <c r="AT432" s="145"/>
      <c r="AU432" s="145"/>
      <c r="AV432" s="146"/>
      <c r="AW432" s="146"/>
      <c r="AX432" s="146"/>
      <c r="AY432" s="146"/>
      <c r="AZ432" s="145"/>
      <c r="BA432" s="146"/>
      <c r="BB432" s="145"/>
      <c r="BC432" s="145"/>
      <c r="BD432" s="145"/>
      <c r="BE432" s="145"/>
      <c r="BF432" s="145"/>
      <c r="BG432" s="145"/>
      <c r="BH432" s="145"/>
      <c r="BI432" s="145"/>
      <c r="BJ432" s="145"/>
      <c r="BK432" s="145"/>
    </row>
    <row r="433" spans="1:63" s="147" customFormat="1" ht="15" x14ac:dyDescent="0.25">
      <c r="A433" s="52"/>
      <c r="B433" s="53" t="s">
        <v>187</v>
      </c>
      <c r="C433" s="104" t="s">
        <v>188</v>
      </c>
      <c r="D433" s="104"/>
      <c r="E433" s="104"/>
      <c r="F433" s="104"/>
      <c r="G433" s="104"/>
      <c r="H433" s="54" t="s">
        <v>60</v>
      </c>
      <c r="I433" s="58">
        <v>112</v>
      </c>
      <c r="J433" s="55"/>
      <c r="K433" s="58">
        <v>112</v>
      </c>
      <c r="L433" s="56"/>
      <c r="M433" s="55"/>
      <c r="N433" s="56"/>
      <c r="O433" s="55"/>
      <c r="P433" s="77">
        <v>22723.723999999995</v>
      </c>
      <c r="Q433" s="82"/>
      <c r="R433" s="82"/>
      <c r="S433" s="82"/>
      <c r="T433" s="82"/>
      <c r="U433" s="163"/>
      <c r="V433" s="82"/>
      <c r="W433" s="160"/>
      <c r="X433" s="82"/>
      <c r="Y433" s="82"/>
      <c r="Z433" s="82"/>
      <c r="AA433" s="82"/>
      <c r="AB433" s="145"/>
      <c r="AC433" s="145"/>
      <c r="AD433" s="145"/>
      <c r="AE433" s="145"/>
      <c r="AF433" s="145"/>
      <c r="AG433" s="145"/>
      <c r="AH433" s="145"/>
      <c r="AI433" s="145"/>
      <c r="AJ433" s="145"/>
      <c r="AK433" s="145"/>
      <c r="AL433" s="145"/>
      <c r="AM433" s="145"/>
      <c r="AN433" s="145"/>
      <c r="AO433" s="145"/>
      <c r="AP433" s="145"/>
      <c r="AQ433" s="145"/>
      <c r="AR433" s="145"/>
      <c r="AS433" s="145"/>
      <c r="AT433" s="145"/>
      <c r="AU433" s="145"/>
      <c r="AV433" s="146"/>
      <c r="AW433" s="146"/>
      <c r="AX433" s="146"/>
      <c r="AY433" s="146"/>
      <c r="AZ433" s="145"/>
      <c r="BA433" s="146"/>
      <c r="BB433" s="145"/>
      <c r="BC433" s="145"/>
      <c r="BD433" s="145"/>
      <c r="BE433" s="145"/>
      <c r="BF433" s="145"/>
      <c r="BG433" s="145"/>
      <c r="BH433" s="145"/>
      <c r="BI433" s="145"/>
      <c r="BJ433" s="145"/>
      <c r="BK433" s="145"/>
    </row>
    <row r="434" spans="1:63" s="147" customFormat="1" ht="15" x14ac:dyDescent="0.25">
      <c r="A434" s="52"/>
      <c r="B434" s="53" t="s">
        <v>189</v>
      </c>
      <c r="C434" s="104" t="s">
        <v>190</v>
      </c>
      <c r="D434" s="104"/>
      <c r="E434" s="104"/>
      <c r="F434" s="104"/>
      <c r="G434" s="104"/>
      <c r="H434" s="54" t="s">
        <v>60</v>
      </c>
      <c r="I434" s="58">
        <v>65</v>
      </c>
      <c r="J434" s="55"/>
      <c r="K434" s="58">
        <v>65</v>
      </c>
      <c r="L434" s="56"/>
      <c r="M434" s="55"/>
      <c r="N434" s="56"/>
      <c r="O434" s="55"/>
      <c r="P434" s="77">
        <v>13187.877999999999</v>
      </c>
      <c r="Q434" s="82"/>
      <c r="R434" s="82"/>
      <c r="S434" s="82"/>
      <c r="T434" s="82"/>
      <c r="U434" s="163"/>
      <c r="V434" s="82"/>
      <c r="W434" s="164"/>
      <c r="X434" s="82"/>
      <c r="Y434" s="82"/>
      <c r="Z434" s="82"/>
      <c r="AA434" s="82"/>
      <c r="AB434" s="145"/>
      <c r="AC434" s="145"/>
      <c r="AD434" s="145"/>
      <c r="AE434" s="145"/>
      <c r="AF434" s="145"/>
      <c r="AG434" s="145"/>
      <c r="AH434" s="145"/>
      <c r="AI434" s="145"/>
      <c r="AJ434" s="145"/>
      <c r="AK434" s="145"/>
      <c r="AL434" s="145"/>
      <c r="AM434" s="145"/>
      <c r="AN434" s="145"/>
      <c r="AO434" s="145"/>
      <c r="AP434" s="145"/>
      <c r="AQ434" s="145"/>
      <c r="AR434" s="145"/>
      <c r="AS434" s="145"/>
      <c r="AT434" s="145"/>
      <c r="AU434" s="145"/>
      <c r="AV434" s="146"/>
      <c r="AW434" s="146"/>
      <c r="AX434" s="146"/>
      <c r="AY434" s="146"/>
      <c r="AZ434" s="145"/>
      <c r="BA434" s="146"/>
      <c r="BB434" s="145"/>
      <c r="BC434" s="145"/>
      <c r="BD434" s="145"/>
      <c r="BE434" s="145"/>
      <c r="BF434" s="145"/>
      <c r="BG434" s="145"/>
      <c r="BH434" s="145"/>
      <c r="BI434" s="145"/>
      <c r="BJ434" s="145"/>
      <c r="BK434" s="145"/>
    </row>
    <row r="435" spans="1:63" s="147" customFormat="1" ht="15" x14ac:dyDescent="0.25">
      <c r="A435" s="59"/>
      <c r="B435" s="98"/>
      <c r="C435" s="102" t="s">
        <v>63</v>
      </c>
      <c r="D435" s="102"/>
      <c r="E435" s="102"/>
      <c r="F435" s="102"/>
      <c r="G435" s="102"/>
      <c r="H435" s="41"/>
      <c r="I435" s="42"/>
      <c r="J435" s="42"/>
      <c r="K435" s="42"/>
      <c r="L435" s="45"/>
      <c r="M435" s="42"/>
      <c r="N435" s="49">
        <v>326601.87</v>
      </c>
      <c r="O435" s="42"/>
      <c r="P435" s="50">
        <v>56338.821999999993</v>
      </c>
      <c r="Q435" s="82"/>
      <c r="R435" s="82"/>
      <c r="S435" s="82"/>
      <c r="T435" s="82"/>
      <c r="U435" s="156"/>
      <c r="V435" s="82"/>
      <c r="W435" s="164"/>
      <c r="X435" s="82"/>
      <c r="Y435" s="82"/>
      <c r="Z435" s="82"/>
      <c r="AA435" s="82"/>
      <c r="AB435" s="145"/>
      <c r="AC435" s="145"/>
      <c r="AD435" s="145"/>
      <c r="AE435" s="145"/>
      <c r="AF435" s="145"/>
      <c r="AG435" s="145"/>
      <c r="AH435" s="145"/>
      <c r="AI435" s="145"/>
      <c r="AJ435" s="145"/>
      <c r="AK435" s="145"/>
      <c r="AL435" s="145"/>
      <c r="AM435" s="145"/>
      <c r="AN435" s="145"/>
      <c r="AO435" s="145"/>
      <c r="AP435" s="145"/>
      <c r="AQ435" s="145"/>
      <c r="AR435" s="145"/>
      <c r="AS435" s="145"/>
      <c r="AT435" s="145"/>
      <c r="AU435" s="145"/>
      <c r="AV435" s="146"/>
      <c r="AW435" s="146"/>
      <c r="AX435" s="146"/>
      <c r="AY435" s="146"/>
      <c r="AZ435" s="145"/>
      <c r="BA435" s="146"/>
      <c r="BB435" s="145"/>
      <c r="BC435" s="145"/>
      <c r="BD435" s="145"/>
      <c r="BE435" s="145"/>
      <c r="BF435" s="145"/>
      <c r="BG435" s="145"/>
      <c r="BH435" s="145"/>
      <c r="BI435" s="145"/>
      <c r="BJ435" s="145"/>
      <c r="BK435" s="145"/>
    </row>
    <row r="436" spans="1:63" s="147" customFormat="1" ht="15" x14ac:dyDescent="0.25">
      <c r="A436" s="39" t="s">
        <v>616</v>
      </c>
      <c r="B436" s="97" t="s">
        <v>202</v>
      </c>
      <c r="C436" s="103" t="s">
        <v>203</v>
      </c>
      <c r="D436" s="103"/>
      <c r="E436" s="103"/>
      <c r="F436" s="103"/>
      <c r="G436" s="103"/>
      <c r="H436" s="41" t="s">
        <v>67</v>
      </c>
      <c r="I436" s="42">
        <v>3</v>
      </c>
      <c r="J436" s="43">
        <v>1</v>
      </c>
      <c r="K436" s="43">
        <v>3</v>
      </c>
      <c r="L436" s="49">
        <v>1284.05</v>
      </c>
      <c r="M436" s="67">
        <v>1.2</v>
      </c>
      <c r="N436" s="49">
        <v>1540.86</v>
      </c>
      <c r="O436" s="42"/>
      <c r="P436" s="50">
        <v>5315.9669999999996</v>
      </c>
      <c r="Q436" s="82"/>
      <c r="R436" s="82"/>
      <c r="S436" s="82"/>
      <c r="T436" s="82"/>
      <c r="U436" s="156"/>
      <c r="V436" s="82"/>
      <c r="W436" s="151"/>
      <c r="X436" s="82"/>
      <c r="Y436" s="82"/>
      <c r="Z436" s="82"/>
      <c r="AA436" s="82"/>
      <c r="AB436" s="145"/>
      <c r="AC436" s="145"/>
      <c r="AD436" s="145"/>
      <c r="AE436" s="145"/>
      <c r="AF436" s="145"/>
      <c r="AG436" s="145"/>
      <c r="AH436" s="145"/>
      <c r="AI436" s="145"/>
      <c r="AJ436" s="145"/>
      <c r="AK436" s="145"/>
      <c r="AL436" s="145"/>
      <c r="AM436" s="145"/>
      <c r="AN436" s="145"/>
      <c r="AO436" s="145"/>
      <c r="AP436" s="145"/>
      <c r="AQ436" s="145"/>
      <c r="AR436" s="145"/>
      <c r="AS436" s="145"/>
      <c r="AT436" s="145"/>
      <c r="AU436" s="145"/>
      <c r="AV436" s="146"/>
      <c r="AW436" s="146"/>
      <c r="AX436" s="146"/>
      <c r="AY436" s="146"/>
      <c r="AZ436" s="145"/>
      <c r="BA436" s="146"/>
      <c r="BB436" s="145"/>
      <c r="BC436" s="145"/>
      <c r="BD436" s="145"/>
      <c r="BE436" s="145"/>
      <c r="BF436" s="145"/>
      <c r="BG436" s="145"/>
      <c r="BH436" s="145"/>
      <c r="BI436" s="145"/>
      <c r="BJ436" s="145"/>
      <c r="BK436" s="145"/>
    </row>
    <row r="437" spans="1:63" s="147" customFormat="1" ht="15" x14ac:dyDescent="0.25">
      <c r="A437" s="59"/>
      <c r="B437" s="98"/>
      <c r="C437" s="102" t="s">
        <v>63</v>
      </c>
      <c r="D437" s="102"/>
      <c r="E437" s="102"/>
      <c r="F437" s="102"/>
      <c r="G437" s="102"/>
      <c r="H437" s="41"/>
      <c r="I437" s="42"/>
      <c r="J437" s="42"/>
      <c r="K437" s="42"/>
      <c r="L437" s="45"/>
      <c r="M437" s="42"/>
      <c r="N437" s="45"/>
      <c r="O437" s="42"/>
      <c r="P437" s="50">
        <v>5315.9669999999996</v>
      </c>
      <c r="Q437" s="82"/>
      <c r="R437" s="82"/>
      <c r="S437" s="82"/>
      <c r="T437" s="82"/>
      <c r="U437" s="156"/>
      <c r="V437" s="82"/>
      <c r="W437" s="152"/>
      <c r="X437" s="82"/>
      <c r="Y437" s="82"/>
      <c r="Z437" s="82"/>
      <c r="AA437" s="82"/>
      <c r="AB437" s="145"/>
      <c r="AC437" s="145"/>
      <c r="AD437" s="145"/>
      <c r="AE437" s="145"/>
      <c r="AF437" s="145"/>
      <c r="AG437" s="145"/>
      <c r="AH437" s="145"/>
      <c r="AI437" s="145"/>
      <c r="AJ437" s="145"/>
      <c r="AK437" s="145"/>
      <c r="AL437" s="145"/>
      <c r="AM437" s="145"/>
      <c r="AN437" s="145"/>
      <c r="AO437" s="145"/>
      <c r="AP437" s="145"/>
      <c r="AQ437" s="145"/>
      <c r="AR437" s="145"/>
      <c r="AS437" s="145"/>
      <c r="AT437" s="145"/>
      <c r="AU437" s="145"/>
      <c r="AV437" s="146"/>
      <c r="AW437" s="146"/>
      <c r="AX437" s="146"/>
      <c r="AY437" s="146"/>
      <c r="AZ437" s="145"/>
      <c r="BA437" s="146"/>
      <c r="BB437" s="145"/>
      <c r="BC437" s="145"/>
      <c r="BD437" s="145"/>
      <c r="BE437" s="145"/>
      <c r="BF437" s="145"/>
      <c r="BG437" s="145"/>
      <c r="BH437" s="145"/>
      <c r="BI437" s="145"/>
      <c r="BJ437" s="145"/>
      <c r="BK437" s="145"/>
    </row>
    <row r="438" spans="1:63" s="147" customFormat="1" ht="15" x14ac:dyDescent="0.25">
      <c r="A438" s="39" t="s">
        <v>381</v>
      </c>
      <c r="B438" s="97" t="s">
        <v>205</v>
      </c>
      <c r="C438" s="103" t="s">
        <v>206</v>
      </c>
      <c r="D438" s="103"/>
      <c r="E438" s="103"/>
      <c r="F438" s="103"/>
      <c r="G438" s="103"/>
      <c r="H438" s="41" t="s">
        <v>71</v>
      </c>
      <c r="I438" s="42">
        <v>0.18</v>
      </c>
      <c r="J438" s="43">
        <v>1</v>
      </c>
      <c r="K438" s="62">
        <v>0.18</v>
      </c>
      <c r="L438" s="49">
        <v>36038.35</v>
      </c>
      <c r="M438" s="62">
        <v>1.1399999999999999</v>
      </c>
      <c r="N438" s="49">
        <v>41083.72</v>
      </c>
      <c r="O438" s="42"/>
      <c r="P438" s="50">
        <v>8504.3304999999982</v>
      </c>
      <c r="Q438" s="82"/>
      <c r="R438" s="82"/>
      <c r="S438" s="82"/>
      <c r="T438" s="82"/>
      <c r="U438" s="156"/>
      <c r="V438" s="82"/>
      <c r="W438" s="151"/>
      <c r="X438" s="82"/>
      <c r="Y438" s="82"/>
      <c r="Z438" s="82"/>
      <c r="AA438" s="82"/>
      <c r="AB438" s="145"/>
      <c r="AC438" s="145"/>
      <c r="AD438" s="145"/>
      <c r="AE438" s="145"/>
      <c r="AF438" s="145"/>
      <c r="AG438" s="145"/>
      <c r="AH438" s="145"/>
      <c r="AI438" s="145"/>
      <c r="AJ438" s="145"/>
      <c r="AK438" s="145"/>
      <c r="AL438" s="145"/>
      <c r="AM438" s="145"/>
      <c r="AN438" s="145"/>
      <c r="AO438" s="145"/>
      <c r="AP438" s="145"/>
      <c r="AQ438" s="145"/>
      <c r="AR438" s="145"/>
      <c r="AS438" s="145"/>
      <c r="AT438" s="145"/>
      <c r="AU438" s="145"/>
      <c r="AV438" s="146"/>
      <c r="AW438" s="146"/>
      <c r="AX438" s="146"/>
      <c r="AY438" s="146"/>
      <c r="AZ438" s="145"/>
      <c r="BA438" s="146"/>
      <c r="BB438" s="145"/>
      <c r="BC438" s="145"/>
      <c r="BD438" s="145"/>
      <c r="BE438" s="145"/>
      <c r="BF438" s="145"/>
      <c r="BG438" s="145"/>
      <c r="BH438" s="145"/>
      <c r="BI438" s="145"/>
      <c r="BJ438" s="145"/>
      <c r="BK438" s="145"/>
    </row>
    <row r="439" spans="1:63" s="147" customFormat="1" ht="15" x14ac:dyDescent="0.25">
      <c r="A439" s="59"/>
      <c r="B439" s="98"/>
      <c r="C439" s="102" t="s">
        <v>63</v>
      </c>
      <c r="D439" s="102"/>
      <c r="E439" s="102"/>
      <c r="F439" s="102"/>
      <c r="G439" s="102"/>
      <c r="H439" s="41"/>
      <c r="I439" s="42"/>
      <c r="J439" s="42"/>
      <c r="K439" s="42"/>
      <c r="L439" s="45"/>
      <c r="M439" s="42"/>
      <c r="N439" s="45"/>
      <c r="O439" s="42"/>
      <c r="P439" s="50">
        <v>8504.3304999999982</v>
      </c>
      <c r="Q439" s="82"/>
      <c r="R439" s="82"/>
      <c r="S439" s="82"/>
      <c r="T439" s="82"/>
      <c r="U439" s="156"/>
      <c r="V439" s="82"/>
      <c r="W439" s="168"/>
      <c r="X439" s="82"/>
      <c r="Y439" s="82"/>
      <c r="Z439" s="82"/>
      <c r="AA439" s="82"/>
      <c r="AB439" s="145"/>
      <c r="AC439" s="145"/>
      <c r="AD439" s="145"/>
      <c r="AE439" s="145"/>
      <c r="AF439" s="145"/>
      <c r="AG439" s="145"/>
      <c r="AH439" s="145"/>
      <c r="AI439" s="145"/>
      <c r="AJ439" s="145"/>
      <c r="AK439" s="145"/>
      <c r="AL439" s="145"/>
      <c r="AM439" s="145"/>
      <c r="AN439" s="145"/>
      <c r="AO439" s="145"/>
      <c r="AP439" s="145"/>
      <c r="AQ439" s="145"/>
      <c r="AR439" s="145"/>
      <c r="AS439" s="145"/>
      <c r="AT439" s="145"/>
      <c r="AU439" s="145"/>
      <c r="AV439" s="146"/>
      <c r="AW439" s="146"/>
      <c r="AX439" s="146"/>
      <c r="AY439" s="146"/>
      <c r="AZ439" s="145"/>
      <c r="BA439" s="146"/>
      <c r="BB439" s="145"/>
      <c r="BC439" s="145"/>
      <c r="BD439" s="145"/>
      <c r="BE439" s="145"/>
      <c r="BF439" s="145"/>
      <c r="BG439" s="145"/>
      <c r="BH439" s="145"/>
      <c r="BI439" s="145"/>
      <c r="BJ439" s="145"/>
      <c r="BK439" s="145"/>
    </row>
    <row r="440" spans="1:63" s="147" customFormat="1" ht="40.5" customHeight="1" x14ac:dyDescent="0.25">
      <c r="A440" s="39" t="s">
        <v>617</v>
      </c>
      <c r="B440" s="97" t="s">
        <v>208</v>
      </c>
      <c r="C440" s="103" t="s">
        <v>305</v>
      </c>
      <c r="D440" s="103"/>
      <c r="E440" s="103"/>
      <c r="F440" s="103"/>
      <c r="G440" s="103"/>
      <c r="H440" s="41" t="s">
        <v>105</v>
      </c>
      <c r="I440" s="42">
        <v>11.05</v>
      </c>
      <c r="J440" s="43">
        <v>1</v>
      </c>
      <c r="K440" s="67">
        <v>11.05</v>
      </c>
      <c r="L440" s="61">
        <v>603.37</v>
      </c>
      <c r="M440" s="62">
        <v>1.25</v>
      </c>
      <c r="N440" s="61">
        <v>754.21</v>
      </c>
      <c r="O440" s="42"/>
      <c r="P440" s="50">
        <v>13270.321499999998</v>
      </c>
      <c r="Q440" s="82"/>
      <c r="R440" s="82"/>
      <c r="S440" s="82"/>
      <c r="T440" s="82"/>
      <c r="U440" s="156"/>
      <c r="V440" s="82"/>
      <c r="W440" s="151"/>
      <c r="X440" s="82"/>
      <c r="Y440" s="82"/>
      <c r="Z440" s="82"/>
      <c r="AA440" s="82"/>
      <c r="AB440" s="145"/>
      <c r="AC440" s="145"/>
      <c r="AD440" s="145"/>
      <c r="AE440" s="145"/>
      <c r="AF440" s="145"/>
      <c r="AG440" s="145"/>
      <c r="AH440" s="145"/>
      <c r="AI440" s="145"/>
      <c r="AJ440" s="145"/>
      <c r="AK440" s="145"/>
      <c r="AL440" s="145"/>
      <c r="AM440" s="145"/>
      <c r="AN440" s="145"/>
      <c r="AO440" s="145"/>
      <c r="AP440" s="145"/>
      <c r="AQ440" s="145"/>
      <c r="AR440" s="145"/>
      <c r="AS440" s="145"/>
      <c r="AT440" s="145"/>
      <c r="AU440" s="145"/>
      <c r="AV440" s="146"/>
      <c r="AW440" s="146"/>
      <c r="AX440" s="146"/>
      <c r="AY440" s="146"/>
      <c r="AZ440" s="145"/>
      <c r="BA440" s="146"/>
      <c r="BB440" s="145"/>
      <c r="BC440" s="145"/>
      <c r="BD440" s="145"/>
      <c r="BE440" s="145"/>
      <c r="BF440" s="145"/>
      <c r="BG440" s="145"/>
      <c r="BH440" s="145"/>
      <c r="BI440" s="145"/>
      <c r="BJ440" s="145"/>
      <c r="BK440" s="145"/>
    </row>
    <row r="441" spans="1:63" s="147" customFormat="1" ht="15" x14ac:dyDescent="0.25">
      <c r="A441" s="59"/>
      <c r="B441" s="98"/>
      <c r="C441" s="102" t="s">
        <v>63</v>
      </c>
      <c r="D441" s="102"/>
      <c r="E441" s="102"/>
      <c r="F441" s="102"/>
      <c r="G441" s="102"/>
      <c r="H441" s="41"/>
      <c r="I441" s="42"/>
      <c r="J441" s="42"/>
      <c r="K441" s="42"/>
      <c r="L441" s="45"/>
      <c r="M441" s="42"/>
      <c r="N441" s="45"/>
      <c r="O441" s="42"/>
      <c r="P441" s="50">
        <v>13270.321499999998</v>
      </c>
      <c r="Q441" s="82"/>
      <c r="R441" s="82"/>
      <c r="S441" s="82"/>
      <c r="T441" s="82"/>
      <c r="U441" s="156"/>
      <c r="V441" s="82"/>
      <c r="W441" s="175"/>
      <c r="X441" s="82"/>
      <c r="Y441" s="82"/>
      <c r="Z441" s="82"/>
      <c r="AA441" s="82"/>
      <c r="AB441" s="145"/>
      <c r="AC441" s="145"/>
      <c r="AD441" s="145"/>
      <c r="AE441" s="145"/>
      <c r="AF441" s="145"/>
      <c r="AG441" s="145"/>
      <c r="AH441" s="145"/>
      <c r="AI441" s="145"/>
      <c r="AJ441" s="145"/>
      <c r="AK441" s="145"/>
      <c r="AL441" s="145"/>
      <c r="AM441" s="145"/>
      <c r="AN441" s="145"/>
      <c r="AO441" s="145"/>
      <c r="AP441" s="145"/>
      <c r="AQ441" s="145"/>
      <c r="AR441" s="145"/>
      <c r="AS441" s="145"/>
      <c r="AT441" s="145"/>
      <c r="AU441" s="145"/>
      <c r="AV441" s="146"/>
      <c r="AW441" s="146"/>
      <c r="AX441" s="146"/>
      <c r="AY441" s="146"/>
      <c r="AZ441" s="145"/>
      <c r="BA441" s="146"/>
      <c r="BB441" s="145"/>
      <c r="BC441" s="145"/>
      <c r="BD441" s="145"/>
      <c r="BE441" s="145"/>
      <c r="BF441" s="145"/>
      <c r="BG441" s="145"/>
      <c r="BH441" s="145"/>
      <c r="BI441" s="145"/>
      <c r="BJ441" s="145"/>
      <c r="BK441" s="145"/>
    </row>
    <row r="442" spans="1:63" s="147" customFormat="1" ht="15" x14ac:dyDescent="0.25">
      <c r="A442" s="107" t="s">
        <v>210</v>
      </c>
      <c r="B442" s="108"/>
      <c r="C442" s="108"/>
      <c r="D442" s="108"/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08"/>
      <c r="P442" s="109"/>
      <c r="Q442" s="82"/>
      <c r="R442" s="82"/>
      <c r="S442" s="82"/>
      <c r="T442" s="82"/>
      <c r="U442" s="82"/>
      <c r="V442" s="82"/>
      <c r="W442" s="151"/>
      <c r="X442" s="82"/>
      <c r="Y442" s="82"/>
      <c r="Z442" s="82"/>
      <c r="AA442" s="82"/>
      <c r="AB442" s="145"/>
      <c r="AC442" s="145"/>
      <c r="AD442" s="145"/>
      <c r="AE442" s="145"/>
      <c r="AF442" s="145"/>
      <c r="AG442" s="145"/>
      <c r="AH442" s="145"/>
      <c r="AI442" s="145"/>
      <c r="AJ442" s="145"/>
      <c r="AK442" s="145"/>
      <c r="AL442" s="145"/>
      <c r="AM442" s="145"/>
      <c r="AN442" s="145"/>
      <c r="AO442" s="145"/>
      <c r="AP442" s="145"/>
      <c r="AQ442" s="145"/>
      <c r="AR442" s="145"/>
      <c r="AS442" s="145"/>
      <c r="AT442" s="145"/>
      <c r="AU442" s="145"/>
      <c r="AV442" s="146"/>
      <c r="AW442" s="146"/>
      <c r="AX442" s="146"/>
      <c r="AY442" s="146"/>
      <c r="AZ442" s="145"/>
      <c r="BA442" s="146"/>
      <c r="BB442" s="145"/>
      <c r="BC442" s="145"/>
      <c r="BD442" s="145"/>
      <c r="BE442" s="145"/>
      <c r="BF442" s="145"/>
      <c r="BG442" s="145"/>
      <c r="BH442" s="145"/>
      <c r="BI442" s="145"/>
      <c r="BJ442" s="145"/>
      <c r="BK442" s="145"/>
    </row>
    <row r="443" spans="1:63" s="147" customFormat="1" ht="15" x14ac:dyDescent="0.25">
      <c r="A443" s="39" t="s">
        <v>618</v>
      </c>
      <c r="B443" s="97" t="s">
        <v>212</v>
      </c>
      <c r="C443" s="103" t="s">
        <v>213</v>
      </c>
      <c r="D443" s="103"/>
      <c r="E443" s="103"/>
      <c r="F443" s="103"/>
      <c r="G443" s="103"/>
      <c r="H443" s="41" t="s">
        <v>214</v>
      </c>
      <c r="I443" s="42">
        <v>0.1</v>
      </c>
      <c r="J443" s="43">
        <v>1</v>
      </c>
      <c r="K443" s="67">
        <v>0.1</v>
      </c>
      <c r="L443" s="45"/>
      <c r="M443" s="42"/>
      <c r="N443" s="45"/>
      <c r="O443" s="42"/>
      <c r="P443" s="46"/>
      <c r="Q443" s="82"/>
      <c r="R443" s="82"/>
      <c r="S443" s="82"/>
      <c r="T443" s="82"/>
      <c r="U443" s="82"/>
      <c r="V443" s="82"/>
      <c r="W443" s="175"/>
      <c r="X443" s="82"/>
      <c r="Y443" s="82"/>
      <c r="Z443" s="82"/>
      <c r="AA443" s="82"/>
      <c r="AB443" s="145"/>
      <c r="AC443" s="145"/>
      <c r="AD443" s="145"/>
      <c r="AE443" s="145"/>
      <c r="AF443" s="145"/>
      <c r="AG443" s="145"/>
      <c r="AH443" s="145"/>
      <c r="AI443" s="145"/>
      <c r="AJ443" s="145"/>
      <c r="AK443" s="145"/>
      <c r="AL443" s="145"/>
      <c r="AM443" s="145"/>
      <c r="AN443" s="145"/>
      <c r="AO443" s="145"/>
      <c r="AP443" s="145"/>
      <c r="AQ443" s="145"/>
      <c r="AR443" s="145"/>
      <c r="AS443" s="145"/>
      <c r="AT443" s="145"/>
      <c r="AU443" s="145"/>
      <c r="AV443" s="146"/>
      <c r="AW443" s="146"/>
      <c r="AX443" s="146"/>
      <c r="AY443" s="146"/>
      <c r="AZ443" s="145"/>
      <c r="BA443" s="146"/>
      <c r="BB443" s="145"/>
      <c r="BC443" s="145"/>
      <c r="BD443" s="145"/>
      <c r="BE443" s="145"/>
      <c r="BF443" s="145"/>
      <c r="BG443" s="145"/>
      <c r="BH443" s="145"/>
      <c r="BI443" s="145"/>
      <c r="BJ443" s="145"/>
      <c r="BK443" s="145"/>
    </row>
    <row r="444" spans="1:63" s="147" customFormat="1" ht="15" x14ac:dyDescent="0.25">
      <c r="A444" s="47"/>
      <c r="B444" s="48"/>
      <c r="C444" s="102" t="s">
        <v>56</v>
      </c>
      <c r="D444" s="102"/>
      <c r="E444" s="102"/>
      <c r="F444" s="102"/>
      <c r="G444" s="102"/>
      <c r="H444" s="41"/>
      <c r="I444" s="42"/>
      <c r="J444" s="42"/>
      <c r="K444" s="42"/>
      <c r="L444" s="45"/>
      <c r="M444" s="42"/>
      <c r="N444" s="49"/>
      <c r="O444" s="42"/>
      <c r="P444" s="50">
        <v>442.25549999999998</v>
      </c>
      <c r="Q444" s="157"/>
      <c r="R444" s="157"/>
      <c r="S444" s="82"/>
      <c r="T444" s="82"/>
      <c r="U444" s="156"/>
      <c r="V444" s="82"/>
      <c r="W444" s="151"/>
      <c r="X444" s="82"/>
      <c r="Y444" s="82"/>
      <c r="Z444" s="82"/>
      <c r="AA444" s="82"/>
      <c r="AB444" s="145"/>
      <c r="AC444" s="145"/>
      <c r="AD444" s="145"/>
      <c r="AE444" s="145"/>
      <c r="AF444" s="145"/>
      <c r="AG444" s="145"/>
      <c r="AH444" s="145"/>
      <c r="AI444" s="145"/>
      <c r="AJ444" s="145"/>
      <c r="AK444" s="145"/>
      <c r="AL444" s="145"/>
      <c r="AM444" s="145"/>
      <c r="AN444" s="145"/>
      <c r="AO444" s="145"/>
      <c r="AP444" s="145"/>
      <c r="AQ444" s="145"/>
      <c r="AR444" s="145"/>
      <c r="AS444" s="145"/>
      <c r="AT444" s="145"/>
      <c r="AU444" s="145"/>
      <c r="AV444" s="146"/>
      <c r="AW444" s="146"/>
      <c r="AX444" s="146"/>
      <c r="AY444" s="146"/>
      <c r="AZ444" s="145"/>
      <c r="BA444" s="146"/>
      <c r="BB444" s="145"/>
      <c r="BC444" s="145"/>
      <c r="BD444" s="145"/>
      <c r="BE444" s="145"/>
      <c r="BF444" s="145"/>
      <c r="BG444" s="145"/>
      <c r="BH444" s="145"/>
      <c r="BI444" s="145"/>
      <c r="BJ444" s="145"/>
      <c r="BK444" s="145"/>
    </row>
    <row r="445" spans="1:63" s="147" customFormat="1" ht="15" x14ac:dyDescent="0.25">
      <c r="A445" s="52"/>
      <c r="B445" s="53"/>
      <c r="C445" s="104" t="s">
        <v>57</v>
      </c>
      <c r="D445" s="104"/>
      <c r="E445" s="104"/>
      <c r="F445" s="104"/>
      <c r="G445" s="104"/>
      <c r="H445" s="54"/>
      <c r="I445" s="55"/>
      <c r="J445" s="55"/>
      <c r="K445" s="55"/>
      <c r="L445" s="56"/>
      <c r="M445" s="55"/>
      <c r="N445" s="56"/>
      <c r="O445" s="55"/>
      <c r="P445" s="77">
        <v>389.29799999999994</v>
      </c>
      <c r="Q445" s="82"/>
      <c r="R445" s="82"/>
      <c r="S445" s="82"/>
      <c r="T445" s="82"/>
      <c r="U445" s="170"/>
      <c r="V445" s="82"/>
      <c r="W445" s="160"/>
      <c r="X445" s="82"/>
      <c r="Y445" s="82"/>
      <c r="Z445" s="82"/>
      <c r="AA445" s="82"/>
      <c r="AB445" s="145"/>
      <c r="AC445" s="145"/>
      <c r="AD445" s="145"/>
      <c r="AE445" s="145"/>
      <c r="AF445" s="145"/>
      <c r="AG445" s="145"/>
      <c r="AH445" s="145"/>
      <c r="AI445" s="145"/>
      <c r="AJ445" s="145"/>
      <c r="AK445" s="145"/>
      <c r="AL445" s="145"/>
      <c r="AM445" s="145"/>
      <c r="AN445" s="145"/>
      <c r="AO445" s="145"/>
      <c r="AP445" s="145"/>
      <c r="AQ445" s="145"/>
      <c r="AR445" s="145"/>
      <c r="AS445" s="145"/>
      <c r="AT445" s="145"/>
      <c r="AU445" s="145"/>
      <c r="AV445" s="146"/>
      <c r="AW445" s="146"/>
      <c r="AX445" s="146"/>
      <c r="AY445" s="146"/>
      <c r="AZ445" s="145"/>
      <c r="BA445" s="146"/>
      <c r="BB445" s="145"/>
      <c r="BC445" s="145"/>
      <c r="BD445" s="145"/>
      <c r="BE445" s="145"/>
      <c r="BF445" s="145"/>
      <c r="BG445" s="145"/>
      <c r="BH445" s="145"/>
      <c r="BI445" s="145"/>
      <c r="BJ445" s="145"/>
      <c r="BK445" s="145"/>
    </row>
    <row r="446" spans="1:63" s="147" customFormat="1" ht="15" x14ac:dyDescent="0.25">
      <c r="A446" s="52"/>
      <c r="B446" s="53" t="s">
        <v>215</v>
      </c>
      <c r="C446" s="104" t="s">
        <v>216</v>
      </c>
      <c r="D446" s="104"/>
      <c r="E446" s="104"/>
      <c r="F446" s="104"/>
      <c r="G446" s="104"/>
      <c r="H446" s="54" t="s">
        <v>60</v>
      </c>
      <c r="I446" s="58">
        <v>121</v>
      </c>
      <c r="J446" s="55"/>
      <c r="K446" s="58">
        <v>121</v>
      </c>
      <c r="L446" s="56"/>
      <c r="M446" s="55"/>
      <c r="N446" s="56"/>
      <c r="O446" s="55"/>
      <c r="P446" s="77">
        <v>471.05149999999998</v>
      </c>
      <c r="Q446" s="82"/>
      <c r="R446" s="82"/>
      <c r="S446" s="82"/>
      <c r="T446" s="82"/>
      <c r="U446" s="170"/>
      <c r="V446" s="82"/>
      <c r="W446" s="164"/>
      <c r="X446" s="82"/>
      <c r="Y446" s="82"/>
      <c r="Z446" s="82"/>
      <c r="AA446" s="82"/>
      <c r="AB446" s="145"/>
      <c r="AC446" s="145"/>
      <c r="AD446" s="145"/>
      <c r="AE446" s="145"/>
      <c r="AF446" s="145"/>
      <c r="AG446" s="145"/>
      <c r="AH446" s="145"/>
      <c r="AI446" s="145"/>
      <c r="AJ446" s="145"/>
      <c r="AK446" s="145"/>
      <c r="AL446" s="145"/>
      <c r="AM446" s="145"/>
      <c r="AN446" s="145"/>
      <c r="AO446" s="145"/>
      <c r="AP446" s="145"/>
      <c r="AQ446" s="145"/>
      <c r="AR446" s="145"/>
      <c r="AS446" s="145"/>
      <c r="AT446" s="145"/>
      <c r="AU446" s="145"/>
      <c r="AV446" s="146"/>
      <c r="AW446" s="146"/>
      <c r="AX446" s="146"/>
      <c r="AY446" s="146"/>
      <c r="AZ446" s="145"/>
      <c r="BA446" s="146"/>
      <c r="BB446" s="145"/>
      <c r="BC446" s="145"/>
      <c r="BD446" s="145"/>
      <c r="BE446" s="145"/>
      <c r="BF446" s="145"/>
      <c r="BG446" s="145"/>
      <c r="BH446" s="145"/>
      <c r="BI446" s="145"/>
      <c r="BJ446" s="145"/>
      <c r="BK446" s="145"/>
    </row>
    <row r="447" spans="1:63" s="147" customFormat="1" ht="15" x14ac:dyDescent="0.25">
      <c r="A447" s="52"/>
      <c r="B447" s="53" t="s">
        <v>217</v>
      </c>
      <c r="C447" s="104" t="s">
        <v>218</v>
      </c>
      <c r="D447" s="104"/>
      <c r="E447" s="104"/>
      <c r="F447" s="104"/>
      <c r="G447" s="104"/>
      <c r="H447" s="54" t="s">
        <v>60</v>
      </c>
      <c r="I447" s="58">
        <v>72</v>
      </c>
      <c r="J447" s="55"/>
      <c r="K447" s="58">
        <v>72</v>
      </c>
      <c r="L447" s="56"/>
      <c r="M447" s="55"/>
      <c r="N447" s="56"/>
      <c r="O447" s="55"/>
      <c r="P447" s="77">
        <v>280.28949999999998</v>
      </c>
      <c r="Q447" s="82"/>
      <c r="R447" s="82"/>
      <c r="S447" s="82"/>
      <c r="T447" s="82"/>
      <c r="U447" s="170"/>
      <c r="V447" s="82"/>
      <c r="W447" s="164"/>
      <c r="X447" s="82"/>
      <c r="Y447" s="82"/>
      <c r="Z447" s="82"/>
      <c r="AA447" s="82"/>
      <c r="AB447" s="145"/>
      <c r="AC447" s="145"/>
      <c r="AD447" s="145"/>
      <c r="AE447" s="145"/>
      <c r="AF447" s="145"/>
      <c r="AG447" s="145"/>
      <c r="AH447" s="145"/>
      <c r="AI447" s="145"/>
      <c r="AJ447" s="145"/>
      <c r="AK447" s="145"/>
      <c r="AL447" s="145"/>
      <c r="AM447" s="145"/>
      <c r="AN447" s="145"/>
      <c r="AO447" s="145"/>
      <c r="AP447" s="145"/>
      <c r="AQ447" s="145"/>
      <c r="AR447" s="145"/>
      <c r="AS447" s="145"/>
      <c r="AT447" s="145"/>
      <c r="AU447" s="145"/>
      <c r="AV447" s="146"/>
      <c r="AW447" s="146"/>
      <c r="AX447" s="146"/>
      <c r="AY447" s="146"/>
      <c r="AZ447" s="145"/>
      <c r="BA447" s="146"/>
      <c r="BB447" s="145"/>
      <c r="BC447" s="145"/>
      <c r="BD447" s="145"/>
      <c r="BE447" s="145"/>
      <c r="BF447" s="145"/>
      <c r="BG447" s="145"/>
      <c r="BH447" s="145"/>
      <c r="BI447" s="145"/>
      <c r="BJ447" s="145"/>
      <c r="BK447" s="145"/>
    </row>
    <row r="448" spans="1:63" s="147" customFormat="1" ht="15" x14ac:dyDescent="0.25">
      <c r="A448" s="59"/>
      <c r="B448" s="98"/>
      <c r="C448" s="102" t="s">
        <v>63</v>
      </c>
      <c r="D448" s="102"/>
      <c r="E448" s="102"/>
      <c r="F448" s="102"/>
      <c r="G448" s="102"/>
      <c r="H448" s="41"/>
      <c r="I448" s="42"/>
      <c r="J448" s="42"/>
      <c r="K448" s="42"/>
      <c r="L448" s="45"/>
      <c r="M448" s="42"/>
      <c r="N448" s="49">
        <v>10379.1</v>
      </c>
      <c r="O448" s="42"/>
      <c r="P448" s="50">
        <v>1193.5965000000001</v>
      </c>
      <c r="Q448" s="82"/>
      <c r="R448" s="82"/>
      <c r="S448" s="82"/>
      <c r="T448" s="82"/>
      <c r="U448" s="156"/>
      <c r="V448" s="82"/>
      <c r="W448" s="151"/>
      <c r="X448" s="82"/>
      <c r="Y448" s="82"/>
      <c r="Z448" s="82"/>
      <c r="AA448" s="82"/>
      <c r="AB448" s="145"/>
      <c r="AC448" s="145"/>
      <c r="AD448" s="145"/>
      <c r="AE448" s="145"/>
      <c r="AF448" s="145"/>
      <c r="AG448" s="145"/>
      <c r="AH448" s="145"/>
      <c r="AI448" s="145"/>
      <c r="AJ448" s="145"/>
      <c r="AK448" s="145"/>
      <c r="AL448" s="145"/>
      <c r="AM448" s="145"/>
      <c r="AN448" s="145"/>
      <c r="AO448" s="145"/>
      <c r="AP448" s="145"/>
      <c r="AQ448" s="145"/>
      <c r="AR448" s="145"/>
      <c r="AS448" s="145"/>
      <c r="AT448" s="145"/>
      <c r="AU448" s="145"/>
      <c r="AV448" s="146"/>
      <c r="AW448" s="146"/>
      <c r="AX448" s="146"/>
      <c r="AY448" s="146"/>
      <c r="AZ448" s="145"/>
      <c r="BA448" s="146"/>
      <c r="BB448" s="145"/>
      <c r="BC448" s="145"/>
      <c r="BD448" s="145"/>
      <c r="BE448" s="145"/>
      <c r="BF448" s="145"/>
      <c r="BG448" s="145"/>
      <c r="BH448" s="145"/>
      <c r="BI448" s="145"/>
      <c r="BJ448" s="145"/>
      <c r="BK448" s="145"/>
    </row>
    <row r="449" spans="1:63" s="147" customFormat="1" ht="15" x14ac:dyDescent="0.25">
      <c r="A449" s="39" t="s">
        <v>619</v>
      </c>
      <c r="B449" s="97" t="s">
        <v>220</v>
      </c>
      <c r="C449" s="103" t="s">
        <v>221</v>
      </c>
      <c r="D449" s="103"/>
      <c r="E449" s="103"/>
      <c r="F449" s="103"/>
      <c r="G449" s="103"/>
      <c r="H449" s="41" t="s">
        <v>222</v>
      </c>
      <c r="I449" s="42">
        <v>1</v>
      </c>
      <c r="J449" s="43">
        <v>1</v>
      </c>
      <c r="K449" s="43">
        <v>1</v>
      </c>
      <c r="L449" s="49">
        <v>8514.9500000000007</v>
      </c>
      <c r="M449" s="62">
        <v>1.17</v>
      </c>
      <c r="N449" s="49">
        <v>9962.49</v>
      </c>
      <c r="O449" s="42"/>
      <c r="P449" s="50">
        <v>11456.863499999999</v>
      </c>
      <c r="Q449" s="82"/>
      <c r="R449" s="82"/>
      <c r="S449" s="82"/>
      <c r="T449" s="82"/>
      <c r="U449" s="156"/>
      <c r="V449" s="82"/>
      <c r="W449" s="152"/>
      <c r="X449" s="82"/>
      <c r="Y449" s="82"/>
      <c r="Z449" s="82"/>
      <c r="AA449" s="82"/>
      <c r="AB449" s="145"/>
      <c r="AC449" s="145"/>
      <c r="AD449" s="145"/>
      <c r="AE449" s="145"/>
      <c r="AF449" s="145"/>
      <c r="AG449" s="145"/>
      <c r="AH449" s="145"/>
      <c r="AI449" s="145"/>
      <c r="AJ449" s="145"/>
      <c r="AK449" s="145"/>
      <c r="AL449" s="145"/>
      <c r="AM449" s="145"/>
      <c r="AN449" s="145"/>
      <c r="AO449" s="145"/>
      <c r="AP449" s="145"/>
      <c r="AQ449" s="145"/>
      <c r="AR449" s="145"/>
      <c r="AS449" s="145"/>
      <c r="AT449" s="145"/>
      <c r="AU449" s="145"/>
      <c r="AV449" s="146"/>
      <c r="AW449" s="146"/>
      <c r="AX449" s="146"/>
      <c r="AY449" s="146"/>
      <c r="AZ449" s="145"/>
      <c r="BA449" s="146"/>
      <c r="BB449" s="145"/>
      <c r="BC449" s="145"/>
      <c r="BD449" s="145"/>
      <c r="BE449" s="145"/>
      <c r="BF449" s="145"/>
      <c r="BG449" s="145"/>
      <c r="BH449" s="145"/>
      <c r="BI449" s="145"/>
      <c r="BJ449" s="145"/>
      <c r="BK449" s="145"/>
    </row>
    <row r="450" spans="1:63" s="147" customFormat="1" ht="15" x14ac:dyDescent="0.25">
      <c r="A450" s="59"/>
      <c r="B450" s="98"/>
      <c r="C450" s="102" t="s">
        <v>63</v>
      </c>
      <c r="D450" s="102"/>
      <c r="E450" s="102"/>
      <c r="F450" s="102"/>
      <c r="G450" s="102"/>
      <c r="H450" s="41"/>
      <c r="I450" s="42"/>
      <c r="J450" s="42"/>
      <c r="K450" s="42"/>
      <c r="L450" s="45"/>
      <c r="M450" s="42"/>
      <c r="N450" s="45"/>
      <c r="O450" s="42"/>
      <c r="P450" s="50">
        <v>11456.863499999999</v>
      </c>
      <c r="Q450" s="82"/>
      <c r="R450" s="82"/>
      <c r="S450" s="82"/>
      <c r="T450" s="82"/>
      <c r="U450" s="156"/>
      <c r="V450" s="82"/>
      <c r="W450" s="151"/>
      <c r="X450" s="82"/>
      <c r="Y450" s="82"/>
      <c r="Z450" s="82"/>
      <c r="AA450" s="82"/>
      <c r="AB450" s="145"/>
      <c r="AC450" s="145"/>
      <c r="AD450" s="145"/>
      <c r="AE450" s="145"/>
      <c r="AF450" s="145"/>
      <c r="AG450" s="145"/>
      <c r="AH450" s="145"/>
      <c r="AI450" s="145"/>
      <c r="AJ450" s="145"/>
      <c r="AK450" s="145"/>
      <c r="AL450" s="145"/>
      <c r="AM450" s="145"/>
      <c r="AN450" s="145"/>
      <c r="AO450" s="145"/>
      <c r="AP450" s="145"/>
      <c r="AQ450" s="145"/>
      <c r="AR450" s="145"/>
      <c r="AS450" s="145"/>
      <c r="AT450" s="145"/>
      <c r="AU450" s="145"/>
      <c r="AV450" s="146"/>
      <c r="AW450" s="146"/>
      <c r="AX450" s="146"/>
      <c r="AY450" s="146"/>
      <c r="AZ450" s="145"/>
      <c r="BA450" s="146"/>
      <c r="BB450" s="145"/>
      <c r="BC450" s="145"/>
      <c r="BD450" s="145"/>
      <c r="BE450" s="145"/>
      <c r="BF450" s="145"/>
      <c r="BG450" s="145"/>
      <c r="BH450" s="145"/>
      <c r="BI450" s="145"/>
      <c r="BJ450" s="145"/>
      <c r="BK450" s="145"/>
    </row>
    <row r="451" spans="1:63" s="147" customFormat="1" ht="15" x14ac:dyDescent="0.25">
      <c r="A451" s="39" t="s">
        <v>620</v>
      </c>
      <c r="B451" s="97" t="s">
        <v>306</v>
      </c>
      <c r="C451" s="103" t="s">
        <v>307</v>
      </c>
      <c r="D451" s="103"/>
      <c r="E451" s="103"/>
      <c r="F451" s="103"/>
      <c r="G451" s="103"/>
      <c r="H451" s="41" t="s">
        <v>75</v>
      </c>
      <c r="I451" s="42">
        <v>0.03</v>
      </c>
      <c r="J451" s="43">
        <v>1</v>
      </c>
      <c r="K451" s="62">
        <v>0.03</v>
      </c>
      <c r="L451" s="45"/>
      <c r="M451" s="42"/>
      <c r="N451" s="45"/>
      <c r="O451" s="42"/>
      <c r="P451" s="50"/>
      <c r="Q451" s="82"/>
      <c r="R451" s="82"/>
      <c r="S451" s="82"/>
      <c r="T451" s="82"/>
      <c r="U451" s="153"/>
      <c r="V451" s="82"/>
      <c r="W451" s="168"/>
      <c r="X451" s="82"/>
      <c r="Y451" s="82"/>
      <c r="Z451" s="82"/>
      <c r="AA451" s="82"/>
      <c r="AB451" s="145"/>
      <c r="AC451" s="145"/>
      <c r="AD451" s="145"/>
      <c r="AE451" s="145"/>
      <c r="AF451" s="145"/>
      <c r="AG451" s="145"/>
      <c r="AH451" s="145"/>
      <c r="AI451" s="145"/>
      <c r="AJ451" s="145"/>
      <c r="AK451" s="145"/>
      <c r="AL451" s="145"/>
      <c r="AM451" s="145"/>
      <c r="AN451" s="145"/>
      <c r="AO451" s="145"/>
      <c r="AP451" s="145"/>
      <c r="AQ451" s="145"/>
      <c r="AR451" s="145"/>
      <c r="AS451" s="145"/>
      <c r="AT451" s="145"/>
      <c r="AU451" s="145"/>
      <c r="AV451" s="146"/>
      <c r="AW451" s="146"/>
      <c r="AX451" s="146"/>
      <c r="AY451" s="146"/>
      <c r="AZ451" s="145"/>
      <c r="BA451" s="146"/>
      <c r="BB451" s="145"/>
      <c r="BC451" s="145"/>
      <c r="BD451" s="145"/>
      <c r="BE451" s="145"/>
      <c r="BF451" s="145"/>
      <c r="BG451" s="145"/>
      <c r="BH451" s="145"/>
      <c r="BI451" s="145"/>
      <c r="BJ451" s="145"/>
      <c r="BK451" s="145"/>
    </row>
    <row r="452" spans="1:63" s="147" customFormat="1" ht="15" x14ac:dyDescent="0.25">
      <c r="A452" s="47"/>
      <c r="B452" s="48"/>
      <c r="C452" s="102" t="s">
        <v>56</v>
      </c>
      <c r="D452" s="102"/>
      <c r="E452" s="102"/>
      <c r="F452" s="102"/>
      <c r="G452" s="102"/>
      <c r="H452" s="41"/>
      <c r="I452" s="42"/>
      <c r="J452" s="42"/>
      <c r="K452" s="42"/>
      <c r="L452" s="45"/>
      <c r="M452" s="42"/>
      <c r="N452" s="49"/>
      <c r="O452" s="42"/>
      <c r="P452" s="50">
        <v>3628.2</v>
      </c>
      <c r="Q452" s="157"/>
      <c r="R452" s="157"/>
      <c r="S452" s="82"/>
      <c r="T452" s="82"/>
      <c r="U452" s="156"/>
      <c r="V452" s="82"/>
      <c r="W452" s="151"/>
      <c r="X452" s="82"/>
      <c r="Y452" s="82"/>
      <c r="Z452" s="82"/>
      <c r="AA452" s="82"/>
      <c r="AB452" s="145"/>
      <c r="AC452" s="145"/>
      <c r="AD452" s="145"/>
      <c r="AE452" s="145"/>
      <c r="AF452" s="145"/>
      <c r="AG452" s="145"/>
      <c r="AH452" s="145"/>
      <c r="AI452" s="145"/>
      <c r="AJ452" s="145"/>
      <c r="AK452" s="145"/>
      <c r="AL452" s="145"/>
      <c r="AM452" s="145"/>
      <c r="AN452" s="145"/>
      <c r="AO452" s="145"/>
      <c r="AP452" s="145"/>
      <c r="AQ452" s="145"/>
      <c r="AR452" s="145"/>
      <c r="AS452" s="145"/>
      <c r="AT452" s="145"/>
      <c r="AU452" s="145"/>
      <c r="AV452" s="146"/>
      <c r="AW452" s="146"/>
      <c r="AX452" s="146"/>
      <c r="AY452" s="146"/>
      <c r="AZ452" s="145"/>
      <c r="BA452" s="146"/>
      <c r="BB452" s="145"/>
      <c r="BC452" s="145"/>
      <c r="BD452" s="145"/>
      <c r="BE452" s="145"/>
      <c r="BF452" s="145"/>
      <c r="BG452" s="145"/>
      <c r="BH452" s="145"/>
      <c r="BI452" s="145"/>
      <c r="BJ452" s="145"/>
      <c r="BK452" s="145"/>
    </row>
    <row r="453" spans="1:63" s="147" customFormat="1" ht="15" x14ac:dyDescent="0.25">
      <c r="A453" s="52"/>
      <c r="B453" s="53"/>
      <c r="C453" s="104" t="s">
        <v>57</v>
      </c>
      <c r="D453" s="104"/>
      <c r="E453" s="104"/>
      <c r="F453" s="104"/>
      <c r="G453" s="104"/>
      <c r="H453" s="54"/>
      <c r="I453" s="55"/>
      <c r="J453" s="55"/>
      <c r="K453" s="55"/>
      <c r="L453" s="56"/>
      <c r="M453" s="55"/>
      <c r="N453" s="56"/>
      <c r="O453" s="55"/>
      <c r="P453" s="77"/>
      <c r="Q453" s="82"/>
      <c r="R453" s="82"/>
      <c r="S453" s="82"/>
      <c r="T453" s="82"/>
      <c r="U453" s="163"/>
      <c r="V453" s="82"/>
      <c r="W453" s="160"/>
      <c r="X453" s="82"/>
      <c r="Y453" s="82"/>
      <c r="Z453" s="82"/>
      <c r="AA453" s="82"/>
      <c r="AB453" s="145"/>
      <c r="AC453" s="145"/>
      <c r="AD453" s="145"/>
      <c r="AE453" s="145"/>
      <c r="AF453" s="145"/>
      <c r="AG453" s="145"/>
      <c r="AH453" s="145"/>
      <c r="AI453" s="145"/>
      <c r="AJ453" s="145"/>
      <c r="AK453" s="145"/>
      <c r="AL453" s="145"/>
      <c r="AM453" s="145"/>
      <c r="AN453" s="145"/>
      <c r="AO453" s="145"/>
      <c r="AP453" s="145"/>
      <c r="AQ453" s="145"/>
      <c r="AR453" s="145"/>
      <c r="AS453" s="145"/>
      <c r="AT453" s="145"/>
      <c r="AU453" s="145"/>
      <c r="AV453" s="146"/>
      <c r="AW453" s="146"/>
      <c r="AX453" s="146"/>
      <c r="AY453" s="146"/>
      <c r="AZ453" s="145"/>
      <c r="BA453" s="146"/>
      <c r="BB453" s="145"/>
      <c r="BC453" s="145"/>
      <c r="BD453" s="145"/>
      <c r="BE453" s="145"/>
      <c r="BF453" s="145"/>
      <c r="BG453" s="145"/>
      <c r="BH453" s="145"/>
      <c r="BI453" s="145"/>
      <c r="BJ453" s="145"/>
      <c r="BK453" s="145"/>
    </row>
    <row r="454" spans="1:63" s="147" customFormat="1" ht="15" x14ac:dyDescent="0.25">
      <c r="A454" s="52"/>
      <c r="B454" s="53" t="s">
        <v>225</v>
      </c>
      <c r="C454" s="104" t="s">
        <v>226</v>
      </c>
      <c r="D454" s="104"/>
      <c r="E454" s="104"/>
      <c r="F454" s="104"/>
      <c r="G454" s="104"/>
      <c r="H454" s="54" t="s">
        <v>60</v>
      </c>
      <c r="I454" s="58">
        <v>103</v>
      </c>
      <c r="J454" s="55"/>
      <c r="K454" s="58">
        <v>103</v>
      </c>
      <c r="L454" s="56"/>
      <c r="M454" s="55"/>
      <c r="N454" s="56"/>
      <c r="O454" s="55"/>
      <c r="P454" s="77"/>
      <c r="Q454" s="82"/>
      <c r="R454" s="82"/>
      <c r="S454" s="82"/>
      <c r="T454" s="82"/>
      <c r="U454" s="163"/>
      <c r="V454" s="82"/>
      <c r="W454" s="164"/>
      <c r="X454" s="82"/>
      <c r="Y454" s="82"/>
      <c r="Z454" s="82"/>
      <c r="AA454" s="82"/>
      <c r="AB454" s="145"/>
      <c r="AC454" s="145"/>
      <c r="AD454" s="145"/>
      <c r="AE454" s="145"/>
      <c r="AF454" s="145"/>
      <c r="AG454" s="145"/>
      <c r="AH454" s="145"/>
      <c r="AI454" s="145"/>
      <c r="AJ454" s="145"/>
      <c r="AK454" s="145"/>
      <c r="AL454" s="145"/>
      <c r="AM454" s="145"/>
      <c r="AN454" s="145"/>
      <c r="AO454" s="145"/>
      <c r="AP454" s="145"/>
      <c r="AQ454" s="145"/>
      <c r="AR454" s="145"/>
      <c r="AS454" s="145"/>
      <c r="AT454" s="145"/>
      <c r="AU454" s="145"/>
      <c r="AV454" s="146"/>
      <c r="AW454" s="146"/>
      <c r="AX454" s="146"/>
      <c r="AY454" s="146"/>
      <c r="AZ454" s="145"/>
      <c r="BA454" s="146"/>
      <c r="BB454" s="145"/>
      <c r="BC454" s="145"/>
      <c r="BD454" s="145"/>
      <c r="BE454" s="145"/>
      <c r="BF454" s="145"/>
      <c r="BG454" s="145"/>
      <c r="BH454" s="145"/>
      <c r="BI454" s="145"/>
      <c r="BJ454" s="145"/>
      <c r="BK454" s="145"/>
    </row>
    <row r="455" spans="1:63" s="147" customFormat="1" ht="15" x14ac:dyDescent="0.25">
      <c r="A455" s="52"/>
      <c r="B455" s="53" t="s">
        <v>227</v>
      </c>
      <c r="C455" s="104" t="s">
        <v>228</v>
      </c>
      <c r="D455" s="104"/>
      <c r="E455" s="104"/>
      <c r="F455" s="104"/>
      <c r="G455" s="104"/>
      <c r="H455" s="54" t="s">
        <v>60</v>
      </c>
      <c r="I455" s="58">
        <v>52</v>
      </c>
      <c r="J455" s="55"/>
      <c r="K455" s="58">
        <v>52</v>
      </c>
      <c r="L455" s="56"/>
      <c r="M455" s="55"/>
      <c r="N455" s="56"/>
      <c r="O455" s="55"/>
      <c r="P455" s="77">
        <v>8594.8239999999987</v>
      </c>
      <c r="Q455" s="82"/>
      <c r="R455" s="82"/>
      <c r="S455" s="82"/>
      <c r="T455" s="82"/>
      <c r="U455" s="163"/>
      <c r="V455" s="82"/>
      <c r="W455" s="164"/>
      <c r="X455" s="82"/>
      <c r="Y455" s="82"/>
      <c r="Z455" s="82"/>
      <c r="AA455" s="82"/>
      <c r="AB455" s="145"/>
      <c r="AC455" s="145"/>
      <c r="AD455" s="145"/>
      <c r="AE455" s="145"/>
      <c r="AF455" s="145"/>
      <c r="AG455" s="145"/>
      <c r="AH455" s="145"/>
      <c r="AI455" s="145"/>
      <c r="AJ455" s="145"/>
      <c r="AK455" s="145"/>
      <c r="AL455" s="145"/>
      <c r="AM455" s="145"/>
      <c r="AN455" s="145"/>
      <c r="AO455" s="145"/>
      <c r="AP455" s="145"/>
      <c r="AQ455" s="145"/>
      <c r="AR455" s="145"/>
      <c r="AS455" s="145"/>
      <c r="AT455" s="145"/>
      <c r="AU455" s="145"/>
      <c r="AV455" s="146"/>
      <c r="AW455" s="146"/>
      <c r="AX455" s="146"/>
      <c r="AY455" s="146"/>
      <c r="AZ455" s="145"/>
      <c r="BA455" s="146"/>
      <c r="BB455" s="145"/>
      <c r="BC455" s="145"/>
      <c r="BD455" s="145"/>
      <c r="BE455" s="145"/>
      <c r="BF455" s="145"/>
      <c r="BG455" s="145"/>
      <c r="BH455" s="145"/>
      <c r="BI455" s="145"/>
      <c r="BJ455" s="145"/>
      <c r="BK455" s="145"/>
    </row>
    <row r="456" spans="1:63" s="147" customFormat="1" ht="15" x14ac:dyDescent="0.25">
      <c r="A456" s="59"/>
      <c r="B456" s="98"/>
      <c r="C456" s="102" t="s">
        <v>63</v>
      </c>
      <c r="D456" s="102"/>
      <c r="E456" s="102"/>
      <c r="F456" s="102"/>
      <c r="G456" s="102"/>
      <c r="H456" s="41"/>
      <c r="I456" s="42"/>
      <c r="J456" s="42"/>
      <c r="K456" s="42"/>
      <c r="L456" s="45"/>
      <c r="M456" s="42"/>
      <c r="N456" s="49">
        <v>1837308.5</v>
      </c>
      <c r="O456" s="42"/>
      <c r="P456" s="50">
        <v>10884.599999999999</v>
      </c>
      <c r="Q456" s="82"/>
      <c r="R456" s="82"/>
      <c r="S456" s="82"/>
      <c r="T456" s="82"/>
      <c r="U456" s="156"/>
      <c r="V456" s="82"/>
      <c r="W456" s="151"/>
      <c r="X456" s="82"/>
      <c r="Y456" s="82"/>
      <c r="Z456" s="82"/>
      <c r="AA456" s="82"/>
      <c r="AB456" s="145"/>
      <c r="AC456" s="145"/>
      <c r="AD456" s="145"/>
      <c r="AE456" s="145"/>
      <c r="AF456" s="145"/>
      <c r="AG456" s="145"/>
      <c r="AH456" s="145"/>
      <c r="AI456" s="145"/>
      <c r="AJ456" s="145"/>
      <c r="AK456" s="145"/>
      <c r="AL456" s="145"/>
      <c r="AM456" s="145"/>
      <c r="AN456" s="145"/>
      <c r="AO456" s="145"/>
      <c r="AP456" s="145"/>
      <c r="AQ456" s="145"/>
      <c r="AR456" s="145"/>
      <c r="AS456" s="145"/>
      <c r="AT456" s="145"/>
      <c r="AU456" s="145"/>
      <c r="AV456" s="146"/>
      <c r="AW456" s="146"/>
      <c r="AX456" s="146"/>
      <c r="AY456" s="146"/>
      <c r="AZ456" s="145"/>
      <c r="BA456" s="146"/>
      <c r="BB456" s="145"/>
      <c r="BC456" s="145"/>
      <c r="BD456" s="145"/>
      <c r="BE456" s="145"/>
      <c r="BF456" s="145"/>
      <c r="BG456" s="145"/>
      <c r="BH456" s="145"/>
      <c r="BI456" s="145"/>
      <c r="BJ456" s="145"/>
      <c r="BK456" s="145"/>
    </row>
    <row r="457" spans="1:63" s="147" customFormat="1" ht="15" x14ac:dyDescent="0.25">
      <c r="A457" s="39" t="s">
        <v>621</v>
      </c>
      <c r="B457" s="97" t="s">
        <v>230</v>
      </c>
      <c r="C457" s="105" t="s">
        <v>316</v>
      </c>
      <c r="D457" s="105"/>
      <c r="E457" s="105"/>
      <c r="F457" s="105"/>
      <c r="G457" s="105"/>
      <c r="H457" s="41" t="s">
        <v>222</v>
      </c>
      <c r="I457" s="42">
        <v>3</v>
      </c>
      <c r="J457" s="43">
        <v>1</v>
      </c>
      <c r="K457" s="43">
        <v>3</v>
      </c>
      <c r="L457" s="49">
        <v>3432.22</v>
      </c>
      <c r="M457" s="67">
        <v>1.3</v>
      </c>
      <c r="N457" s="49">
        <f>4461.89+1500</f>
        <v>5961.89</v>
      </c>
      <c r="O457" s="42"/>
      <c r="P457" s="50">
        <v>21762.346999999998</v>
      </c>
      <c r="Q457" s="82"/>
      <c r="R457" s="82"/>
      <c r="S457" s="82"/>
      <c r="T457" s="82"/>
      <c r="U457" s="156"/>
      <c r="V457" s="82"/>
      <c r="W457" s="152"/>
      <c r="X457" s="82"/>
      <c r="Y457" s="82"/>
      <c r="Z457" s="82"/>
      <c r="AA457" s="82"/>
      <c r="AB457" s="145"/>
      <c r="AC457" s="145"/>
      <c r="AD457" s="145"/>
      <c r="AE457" s="145"/>
      <c r="AF457" s="145"/>
      <c r="AG457" s="145"/>
      <c r="AH457" s="145"/>
      <c r="AI457" s="145"/>
      <c r="AJ457" s="145"/>
      <c r="AK457" s="145"/>
      <c r="AL457" s="145"/>
      <c r="AM457" s="145"/>
      <c r="AN457" s="145"/>
      <c r="AO457" s="145"/>
      <c r="AP457" s="145"/>
      <c r="AQ457" s="145"/>
      <c r="AR457" s="145"/>
      <c r="AS457" s="145"/>
      <c r="AT457" s="145"/>
      <c r="AU457" s="145"/>
      <c r="AV457" s="146"/>
      <c r="AW457" s="146"/>
      <c r="AX457" s="146"/>
      <c r="AY457" s="146"/>
      <c r="AZ457" s="145"/>
      <c r="BA457" s="146"/>
      <c r="BB457" s="145"/>
      <c r="BC457" s="145"/>
      <c r="BD457" s="145"/>
      <c r="BE457" s="145"/>
      <c r="BF457" s="145"/>
      <c r="BG457" s="145"/>
      <c r="BH457" s="145"/>
      <c r="BI457" s="145"/>
      <c r="BJ457" s="145"/>
      <c r="BK457" s="145"/>
    </row>
    <row r="458" spans="1:63" s="147" customFormat="1" ht="15" x14ac:dyDescent="0.25">
      <c r="A458" s="59"/>
      <c r="B458" s="98"/>
      <c r="C458" s="106" t="s">
        <v>63</v>
      </c>
      <c r="D458" s="106"/>
      <c r="E458" s="106"/>
      <c r="F458" s="106"/>
      <c r="G458" s="106"/>
      <c r="H458" s="41"/>
      <c r="I458" s="42"/>
      <c r="J458" s="42"/>
      <c r="K458" s="42"/>
      <c r="L458" s="45"/>
      <c r="M458" s="42"/>
      <c r="N458" s="45"/>
      <c r="O458" s="42"/>
      <c r="P458" s="50">
        <v>21762.346999999998</v>
      </c>
      <c r="Q458" s="82"/>
      <c r="R458" s="82"/>
      <c r="S458" s="82"/>
      <c r="T458" s="82"/>
      <c r="U458" s="156"/>
      <c r="V458" s="82"/>
      <c r="W458" s="151"/>
      <c r="X458" s="82"/>
      <c r="Y458" s="82"/>
      <c r="Z458" s="82"/>
      <c r="AA458" s="82"/>
      <c r="AB458" s="145"/>
      <c r="AC458" s="145"/>
      <c r="AD458" s="145"/>
      <c r="AE458" s="145"/>
      <c r="AF458" s="145"/>
      <c r="AG458" s="145"/>
      <c r="AH458" s="145"/>
      <c r="AI458" s="145"/>
      <c r="AJ458" s="145"/>
      <c r="AK458" s="145"/>
      <c r="AL458" s="145"/>
      <c r="AM458" s="145"/>
      <c r="AN458" s="145"/>
      <c r="AO458" s="145"/>
      <c r="AP458" s="145"/>
      <c r="AQ458" s="145"/>
      <c r="AR458" s="145"/>
      <c r="AS458" s="145"/>
      <c r="AT458" s="145"/>
      <c r="AU458" s="145"/>
      <c r="AV458" s="146"/>
      <c r="AW458" s="146"/>
      <c r="AX458" s="146"/>
      <c r="AY458" s="146"/>
      <c r="AZ458" s="145"/>
      <c r="BA458" s="146"/>
      <c r="BB458" s="145"/>
      <c r="BC458" s="145"/>
      <c r="BD458" s="145"/>
      <c r="BE458" s="145"/>
      <c r="BF458" s="145"/>
      <c r="BG458" s="145"/>
      <c r="BH458" s="145"/>
      <c r="BI458" s="145"/>
      <c r="BJ458" s="145"/>
      <c r="BK458" s="145"/>
    </row>
    <row r="459" spans="1:63" s="147" customFormat="1" ht="15" x14ac:dyDescent="0.25">
      <c r="A459" s="39" t="s">
        <v>622</v>
      </c>
      <c r="B459" s="97" t="s">
        <v>233</v>
      </c>
      <c r="C459" s="103" t="s">
        <v>234</v>
      </c>
      <c r="D459" s="103"/>
      <c r="E459" s="103"/>
      <c r="F459" s="103"/>
      <c r="G459" s="103"/>
      <c r="H459" s="41" t="s">
        <v>75</v>
      </c>
      <c r="I459" s="42">
        <v>0.03</v>
      </c>
      <c r="J459" s="43">
        <v>1</v>
      </c>
      <c r="K459" s="62">
        <v>0.03</v>
      </c>
      <c r="L459" s="45"/>
      <c r="M459" s="42"/>
      <c r="N459" s="45"/>
      <c r="O459" s="42"/>
      <c r="P459" s="50"/>
      <c r="Q459" s="82"/>
      <c r="R459" s="82"/>
      <c r="S459" s="82"/>
      <c r="T459" s="82"/>
      <c r="U459" s="153"/>
      <c r="V459" s="82"/>
      <c r="W459" s="168"/>
      <c r="X459" s="82"/>
      <c r="Y459" s="82"/>
      <c r="Z459" s="82"/>
      <c r="AA459" s="82"/>
      <c r="AB459" s="145"/>
      <c r="AC459" s="145"/>
      <c r="AD459" s="145"/>
      <c r="AE459" s="145"/>
      <c r="AF459" s="145"/>
      <c r="AG459" s="145"/>
      <c r="AH459" s="145"/>
      <c r="AI459" s="145"/>
      <c r="AJ459" s="145"/>
      <c r="AK459" s="145"/>
      <c r="AL459" s="145"/>
      <c r="AM459" s="145"/>
      <c r="AN459" s="145"/>
      <c r="AO459" s="145"/>
      <c r="AP459" s="145"/>
      <c r="AQ459" s="145"/>
      <c r="AR459" s="145"/>
      <c r="AS459" s="145"/>
      <c r="AT459" s="145"/>
      <c r="AU459" s="145"/>
      <c r="AV459" s="146"/>
      <c r="AW459" s="146"/>
      <c r="AX459" s="146"/>
      <c r="AY459" s="146"/>
      <c r="AZ459" s="145"/>
      <c r="BA459" s="146"/>
      <c r="BB459" s="145"/>
      <c r="BC459" s="145"/>
      <c r="BD459" s="145"/>
      <c r="BE459" s="145"/>
      <c r="BF459" s="145"/>
      <c r="BG459" s="145"/>
      <c r="BH459" s="145"/>
      <c r="BI459" s="145"/>
      <c r="BJ459" s="145"/>
      <c r="BK459" s="145"/>
    </row>
    <row r="460" spans="1:63" s="147" customFormat="1" ht="15" x14ac:dyDescent="0.25">
      <c r="A460" s="47"/>
      <c r="B460" s="48"/>
      <c r="C460" s="102" t="s">
        <v>56</v>
      </c>
      <c r="D460" s="102"/>
      <c r="E460" s="102"/>
      <c r="F460" s="102"/>
      <c r="G460" s="102"/>
      <c r="H460" s="41"/>
      <c r="I460" s="42"/>
      <c r="J460" s="42"/>
      <c r="K460" s="42"/>
      <c r="L460" s="45"/>
      <c r="M460" s="42"/>
      <c r="N460" s="49"/>
      <c r="O460" s="42"/>
      <c r="P460" s="50">
        <v>951.78599999999994</v>
      </c>
      <c r="Q460" s="157"/>
      <c r="R460" s="157"/>
      <c r="S460" s="82"/>
      <c r="T460" s="82"/>
      <c r="U460" s="156"/>
      <c r="V460" s="82"/>
      <c r="W460" s="151"/>
      <c r="X460" s="82"/>
      <c r="Y460" s="82"/>
      <c r="Z460" s="82"/>
      <c r="AA460" s="82"/>
      <c r="AB460" s="145"/>
      <c r="AC460" s="145"/>
      <c r="AD460" s="145"/>
      <c r="AE460" s="145"/>
      <c r="AF460" s="145"/>
      <c r="AG460" s="145"/>
      <c r="AH460" s="145"/>
      <c r="AI460" s="145"/>
      <c r="AJ460" s="145"/>
      <c r="AK460" s="145"/>
      <c r="AL460" s="145"/>
      <c r="AM460" s="145"/>
      <c r="AN460" s="145"/>
      <c r="AO460" s="145"/>
      <c r="AP460" s="145"/>
      <c r="AQ460" s="145"/>
      <c r="AR460" s="145"/>
      <c r="AS460" s="145"/>
      <c r="AT460" s="145"/>
      <c r="AU460" s="145"/>
      <c r="AV460" s="146"/>
      <c r="AW460" s="146"/>
      <c r="AX460" s="146"/>
      <c r="AY460" s="146"/>
      <c r="AZ460" s="145"/>
      <c r="BA460" s="146"/>
      <c r="BB460" s="145"/>
      <c r="BC460" s="145"/>
      <c r="BD460" s="145"/>
      <c r="BE460" s="145"/>
      <c r="BF460" s="145"/>
      <c r="BG460" s="145"/>
      <c r="BH460" s="145"/>
      <c r="BI460" s="145"/>
      <c r="BJ460" s="145"/>
      <c r="BK460" s="145"/>
    </row>
    <row r="461" spans="1:63" s="147" customFormat="1" ht="15" x14ac:dyDescent="0.25">
      <c r="A461" s="52"/>
      <c r="B461" s="53"/>
      <c r="C461" s="104" t="s">
        <v>57</v>
      </c>
      <c r="D461" s="104"/>
      <c r="E461" s="104"/>
      <c r="F461" s="104"/>
      <c r="G461" s="104"/>
      <c r="H461" s="54"/>
      <c r="I461" s="55"/>
      <c r="J461" s="55"/>
      <c r="K461" s="55"/>
      <c r="L461" s="56"/>
      <c r="M461" s="55"/>
      <c r="N461" s="56"/>
      <c r="O461" s="55"/>
      <c r="P461" s="77">
        <v>652.09599999999989</v>
      </c>
      <c r="Q461" s="82"/>
      <c r="R461" s="82"/>
      <c r="S461" s="82"/>
      <c r="T461" s="82"/>
      <c r="U461" s="170"/>
      <c r="V461" s="82"/>
      <c r="W461" s="160"/>
      <c r="X461" s="82"/>
      <c r="Y461" s="82"/>
      <c r="Z461" s="82"/>
      <c r="AA461" s="82"/>
      <c r="AB461" s="145"/>
      <c r="AC461" s="145"/>
      <c r="AD461" s="145"/>
      <c r="AE461" s="145"/>
      <c r="AF461" s="145"/>
      <c r="AG461" s="145"/>
      <c r="AH461" s="145"/>
      <c r="AI461" s="145"/>
      <c r="AJ461" s="145"/>
      <c r="AK461" s="145"/>
      <c r="AL461" s="145"/>
      <c r="AM461" s="145"/>
      <c r="AN461" s="145"/>
      <c r="AO461" s="145"/>
      <c r="AP461" s="145"/>
      <c r="AQ461" s="145"/>
      <c r="AR461" s="145"/>
      <c r="AS461" s="145"/>
      <c r="AT461" s="145"/>
      <c r="AU461" s="145"/>
      <c r="AV461" s="146"/>
      <c r="AW461" s="146"/>
      <c r="AX461" s="146"/>
      <c r="AY461" s="146"/>
      <c r="AZ461" s="145"/>
      <c r="BA461" s="146"/>
      <c r="BB461" s="145"/>
      <c r="BC461" s="145"/>
      <c r="BD461" s="145"/>
      <c r="BE461" s="145"/>
      <c r="BF461" s="145"/>
      <c r="BG461" s="145"/>
      <c r="BH461" s="145"/>
      <c r="BI461" s="145"/>
      <c r="BJ461" s="145"/>
      <c r="BK461" s="145"/>
    </row>
    <row r="462" spans="1:63" s="147" customFormat="1" ht="15" x14ac:dyDescent="0.25">
      <c r="A462" s="52"/>
      <c r="B462" s="53" t="s">
        <v>225</v>
      </c>
      <c r="C462" s="104" t="s">
        <v>226</v>
      </c>
      <c r="D462" s="104"/>
      <c r="E462" s="104"/>
      <c r="F462" s="104"/>
      <c r="G462" s="104"/>
      <c r="H462" s="54" t="s">
        <v>60</v>
      </c>
      <c r="I462" s="58">
        <v>103</v>
      </c>
      <c r="J462" s="55"/>
      <c r="K462" s="58">
        <v>103</v>
      </c>
      <c r="L462" s="56"/>
      <c r="M462" s="55"/>
      <c r="N462" s="56"/>
      <c r="O462" s="55"/>
      <c r="P462" s="77">
        <v>671.65749999999991</v>
      </c>
      <c r="Q462" s="82"/>
      <c r="R462" s="82"/>
      <c r="S462" s="82"/>
      <c r="T462" s="82"/>
      <c r="U462" s="170"/>
      <c r="V462" s="82"/>
      <c r="W462" s="164"/>
      <c r="X462" s="82"/>
      <c r="Y462" s="82"/>
      <c r="Z462" s="82"/>
      <c r="AA462" s="82"/>
      <c r="AB462" s="145"/>
      <c r="AC462" s="145"/>
      <c r="AD462" s="145"/>
      <c r="AE462" s="145"/>
      <c r="AF462" s="145"/>
      <c r="AG462" s="145"/>
      <c r="AH462" s="145"/>
      <c r="AI462" s="145"/>
      <c r="AJ462" s="145"/>
      <c r="AK462" s="145"/>
      <c r="AL462" s="145"/>
      <c r="AM462" s="145"/>
      <c r="AN462" s="145"/>
      <c r="AO462" s="145"/>
      <c r="AP462" s="145"/>
      <c r="AQ462" s="145"/>
      <c r="AR462" s="145"/>
      <c r="AS462" s="145"/>
      <c r="AT462" s="145"/>
      <c r="AU462" s="145"/>
      <c r="AV462" s="146"/>
      <c r="AW462" s="146"/>
      <c r="AX462" s="146"/>
      <c r="AY462" s="146"/>
      <c r="AZ462" s="145"/>
      <c r="BA462" s="146"/>
      <c r="BB462" s="145"/>
      <c r="BC462" s="145"/>
      <c r="BD462" s="145"/>
      <c r="BE462" s="145"/>
      <c r="BF462" s="145"/>
      <c r="BG462" s="145"/>
      <c r="BH462" s="145"/>
      <c r="BI462" s="145"/>
      <c r="BJ462" s="145"/>
      <c r="BK462" s="145"/>
    </row>
    <row r="463" spans="1:63" s="147" customFormat="1" ht="15" x14ac:dyDescent="0.25">
      <c r="A463" s="52"/>
      <c r="B463" s="53" t="s">
        <v>227</v>
      </c>
      <c r="C463" s="104" t="s">
        <v>228</v>
      </c>
      <c r="D463" s="104"/>
      <c r="E463" s="104"/>
      <c r="F463" s="104"/>
      <c r="G463" s="104"/>
      <c r="H463" s="54" t="s">
        <v>60</v>
      </c>
      <c r="I463" s="58">
        <v>52</v>
      </c>
      <c r="J463" s="55"/>
      <c r="K463" s="58">
        <v>52</v>
      </c>
      <c r="L463" s="56"/>
      <c r="M463" s="55"/>
      <c r="N463" s="56"/>
      <c r="O463" s="55"/>
      <c r="P463" s="77">
        <v>339.089</v>
      </c>
      <c r="Q463" s="82"/>
      <c r="R463" s="82"/>
      <c r="S463" s="82"/>
      <c r="T463" s="82"/>
      <c r="U463" s="170"/>
      <c r="V463" s="82"/>
      <c r="W463" s="164"/>
      <c r="X463" s="82"/>
      <c r="Y463" s="82"/>
      <c r="Z463" s="82"/>
      <c r="AA463" s="82"/>
      <c r="AB463" s="145"/>
      <c r="AC463" s="145"/>
      <c r="AD463" s="145"/>
      <c r="AE463" s="145"/>
      <c r="AF463" s="145"/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6"/>
      <c r="AW463" s="146"/>
      <c r="AX463" s="146"/>
      <c r="AY463" s="146"/>
      <c r="AZ463" s="145"/>
      <c r="BA463" s="146"/>
      <c r="BB463" s="145"/>
      <c r="BC463" s="145"/>
      <c r="BD463" s="145"/>
      <c r="BE463" s="145"/>
      <c r="BF463" s="145"/>
      <c r="BG463" s="145"/>
      <c r="BH463" s="145"/>
      <c r="BI463" s="145"/>
      <c r="BJ463" s="145"/>
      <c r="BK463" s="145"/>
    </row>
    <row r="464" spans="1:63" s="147" customFormat="1" ht="15" x14ac:dyDescent="0.25">
      <c r="A464" s="59"/>
      <c r="B464" s="98"/>
      <c r="C464" s="102" t="s">
        <v>63</v>
      </c>
      <c r="D464" s="102"/>
      <c r="E464" s="102"/>
      <c r="F464" s="102"/>
      <c r="G464" s="102"/>
      <c r="H464" s="41"/>
      <c r="I464" s="42"/>
      <c r="J464" s="42"/>
      <c r="K464" s="42"/>
      <c r="L464" s="45"/>
      <c r="M464" s="42"/>
      <c r="N464" s="49">
        <v>85327.5</v>
      </c>
      <c r="O464" s="42"/>
      <c r="P464" s="50">
        <v>1962.5324999999998</v>
      </c>
      <c r="Q464" s="82"/>
      <c r="R464" s="82"/>
      <c r="S464" s="82"/>
      <c r="T464" s="82"/>
      <c r="U464" s="156"/>
      <c r="V464" s="82"/>
      <c r="W464" s="151"/>
      <c r="X464" s="82"/>
      <c r="Y464" s="82"/>
      <c r="Z464" s="82"/>
      <c r="AA464" s="82"/>
      <c r="AB464" s="145"/>
      <c r="AC464" s="145"/>
      <c r="AD464" s="145"/>
      <c r="AE464" s="145"/>
      <c r="AF464" s="145"/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6"/>
      <c r="AW464" s="146"/>
      <c r="AX464" s="146"/>
      <c r="AY464" s="146"/>
      <c r="AZ464" s="145"/>
      <c r="BA464" s="146"/>
      <c r="BB464" s="145"/>
      <c r="BC464" s="145"/>
      <c r="BD464" s="145"/>
      <c r="BE464" s="145"/>
      <c r="BF464" s="145"/>
      <c r="BG464" s="145"/>
      <c r="BH464" s="145"/>
      <c r="BI464" s="145"/>
      <c r="BJ464" s="145"/>
      <c r="BK464" s="145"/>
    </row>
    <row r="465" spans="1:63" s="147" customFormat="1" ht="15" x14ac:dyDescent="0.25">
      <c r="A465" s="39" t="s">
        <v>623</v>
      </c>
      <c r="B465" s="97" t="s">
        <v>236</v>
      </c>
      <c r="C465" s="103" t="s">
        <v>237</v>
      </c>
      <c r="D465" s="103"/>
      <c r="E465" s="103"/>
      <c r="F465" s="103"/>
      <c r="G465" s="103"/>
      <c r="H465" s="41" t="s">
        <v>222</v>
      </c>
      <c r="I465" s="42">
        <v>3</v>
      </c>
      <c r="J465" s="43">
        <v>1</v>
      </c>
      <c r="K465" s="43">
        <v>3</v>
      </c>
      <c r="L465" s="61">
        <v>237.33</v>
      </c>
      <c r="M465" s="62">
        <v>1.1299999999999999</v>
      </c>
      <c r="N465" s="61">
        <v>268.18</v>
      </c>
      <c r="O465" s="42"/>
      <c r="P465" s="50">
        <v>925.22099999999989</v>
      </c>
      <c r="Q465" s="82"/>
      <c r="R465" s="82"/>
      <c r="S465" s="82"/>
      <c r="T465" s="82"/>
      <c r="U465" s="167"/>
      <c r="V465" s="82"/>
      <c r="W465" s="152"/>
      <c r="X465" s="82"/>
      <c r="Y465" s="82"/>
      <c r="Z465" s="82"/>
      <c r="AA465" s="82"/>
      <c r="AB465" s="145"/>
      <c r="AC465" s="145"/>
      <c r="AD465" s="145"/>
      <c r="AE465" s="145"/>
      <c r="AF465" s="145"/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6"/>
      <c r="AW465" s="146"/>
      <c r="AX465" s="146"/>
      <c r="AY465" s="146"/>
      <c r="AZ465" s="145"/>
      <c r="BA465" s="146"/>
      <c r="BB465" s="145"/>
      <c r="BC465" s="145"/>
      <c r="BD465" s="145"/>
      <c r="BE465" s="145"/>
      <c r="BF465" s="145"/>
      <c r="BG465" s="145"/>
      <c r="BH465" s="145"/>
      <c r="BI465" s="145"/>
      <c r="BJ465" s="145"/>
      <c r="BK465" s="145"/>
    </row>
    <row r="466" spans="1:63" s="147" customFormat="1" ht="15" x14ac:dyDescent="0.25">
      <c r="A466" s="59"/>
      <c r="B466" s="98"/>
      <c r="C466" s="102" t="s">
        <v>63</v>
      </c>
      <c r="D466" s="102"/>
      <c r="E466" s="102"/>
      <c r="F466" s="102"/>
      <c r="G466" s="102"/>
      <c r="H466" s="41"/>
      <c r="I466" s="42"/>
      <c r="J466" s="42"/>
      <c r="K466" s="42"/>
      <c r="L466" s="45"/>
      <c r="M466" s="42"/>
      <c r="N466" s="45"/>
      <c r="O466" s="42"/>
      <c r="P466" s="50">
        <v>925.22099999999989</v>
      </c>
      <c r="Q466" s="82"/>
      <c r="R466" s="82"/>
      <c r="S466" s="82"/>
      <c r="T466" s="82"/>
      <c r="U466" s="167"/>
      <c r="V466" s="82"/>
      <c r="W466" s="151"/>
      <c r="X466" s="82"/>
      <c r="Y466" s="82"/>
      <c r="Z466" s="82"/>
      <c r="AA466" s="82"/>
      <c r="AB466" s="145"/>
      <c r="AC466" s="145"/>
      <c r="AD466" s="145"/>
      <c r="AE466" s="145"/>
      <c r="AF466" s="145"/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6"/>
      <c r="AW466" s="146"/>
      <c r="AX466" s="146"/>
      <c r="AY466" s="146"/>
      <c r="AZ466" s="145"/>
      <c r="BA466" s="146"/>
      <c r="BB466" s="145"/>
      <c r="BC466" s="145"/>
      <c r="BD466" s="145"/>
      <c r="BE466" s="145"/>
      <c r="BF466" s="145"/>
      <c r="BG466" s="145"/>
      <c r="BH466" s="145"/>
      <c r="BI466" s="145"/>
      <c r="BJ466" s="145"/>
      <c r="BK466" s="145"/>
    </row>
    <row r="467" spans="1:63" s="147" customFormat="1" ht="15" x14ac:dyDescent="0.25">
      <c r="A467" s="39" t="s">
        <v>624</v>
      </c>
      <c r="B467" s="97" t="s">
        <v>239</v>
      </c>
      <c r="C467" s="103" t="s">
        <v>240</v>
      </c>
      <c r="D467" s="103"/>
      <c r="E467" s="103"/>
      <c r="F467" s="103"/>
      <c r="G467" s="103"/>
      <c r="H467" s="41" t="s">
        <v>125</v>
      </c>
      <c r="I467" s="42">
        <v>0.02</v>
      </c>
      <c r="J467" s="43">
        <v>1</v>
      </c>
      <c r="K467" s="62">
        <v>0.02</v>
      </c>
      <c r="L467" s="45"/>
      <c r="M467" s="42"/>
      <c r="N467" s="45"/>
      <c r="O467" s="42"/>
      <c r="P467" s="50"/>
      <c r="Q467" s="82"/>
      <c r="R467" s="82"/>
      <c r="S467" s="82"/>
      <c r="T467" s="82"/>
      <c r="U467" s="153"/>
      <c r="V467" s="82"/>
      <c r="W467" s="168"/>
      <c r="X467" s="82"/>
      <c r="Y467" s="82"/>
      <c r="Z467" s="82"/>
      <c r="AA467" s="82"/>
      <c r="AB467" s="145"/>
      <c r="AC467" s="145"/>
      <c r="AD467" s="145"/>
      <c r="AE467" s="145"/>
      <c r="AF467" s="145"/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  <c r="AV467" s="146"/>
      <c r="AW467" s="146"/>
      <c r="AX467" s="146"/>
      <c r="AY467" s="146"/>
      <c r="AZ467" s="145"/>
      <c r="BA467" s="146"/>
      <c r="BB467" s="145"/>
      <c r="BC467" s="145"/>
      <c r="BD467" s="145"/>
      <c r="BE467" s="145"/>
      <c r="BF467" s="145"/>
      <c r="BG467" s="145"/>
      <c r="BH467" s="145"/>
      <c r="BI467" s="145"/>
      <c r="BJ467" s="145"/>
      <c r="BK467" s="145"/>
    </row>
    <row r="468" spans="1:63" s="147" customFormat="1" ht="15" x14ac:dyDescent="0.25">
      <c r="A468" s="47"/>
      <c r="B468" s="48"/>
      <c r="C468" s="102" t="s">
        <v>56</v>
      </c>
      <c r="D468" s="102"/>
      <c r="E468" s="102"/>
      <c r="F468" s="102"/>
      <c r="G468" s="102"/>
      <c r="H468" s="41"/>
      <c r="I468" s="42"/>
      <c r="J468" s="42"/>
      <c r="K468" s="42"/>
      <c r="L468" s="45"/>
      <c r="M468" s="42"/>
      <c r="N468" s="49"/>
      <c r="O468" s="42"/>
      <c r="P468" s="50">
        <v>559.98099999999999</v>
      </c>
      <c r="Q468" s="157"/>
      <c r="R468" s="157"/>
      <c r="S468" s="82"/>
      <c r="T468" s="82"/>
      <c r="U468" s="156"/>
      <c r="V468" s="82"/>
      <c r="W468" s="151"/>
      <c r="X468" s="82"/>
      <c r="Y468" s="82"/>
      <c r="Z468" s="82"/>
      <c r="AA468" s="82"/>
      <c r="AB468" s="145"/>
      <c r="AC468" s="145"/>
      <c r="AD468" s="145"/>
      <c r="AE468" s="145"/>
      <c r="AF468" s="145"/>
      <c r="AG468" s="145"/>
      <c r="AH468" s="145"/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  <c r="AU468" s="145"/>
      <c r="AV468" s="146"/>
      <c r="AW468" s="146"/>
      <c r="AX468" s="146"/>
      <c r="AY468" s="146"/>
      <c r="AZ468" s="145"/>
      <c r="BA468" s="146"/>
      <c r="BB468" s="145"/>
      <c r="BC468" s="145"/>
      <c r="BD468" s="145"/>
      <c r="BE468" s="145"/>
      <c r="BF468" s="145"/>
      <c r="BG468" s="145"/>
      <c r="BH468" s="145"/>
      <c r="BI468" s="145"/>
      <c r="BJ468" s="145"/>
      <c r="BK468" s="145"/>
    </row>
    <row r="469" spans="1:63" s="147" customFormat="1" ht="15" x14ac:dyDescent="0.25">
      <c r="A469" s="52"/>
      <c r="B469" s="53"/>
      <c r="C469" s="104" t="s">
        <v>57</v>
      </c>
      <c r="D469" s="104"/>
      <c r="E469" s="104"/>
      <c r="F469" s="104"/>
      <c r="G469" s="104"/>
      <c r="H469" s="54"/>
      <c r="I469" s="55"/>
      <c r="J469" s="55"/>
      <c r="K469" s="55"/>
      <c r="L469" s="56"/>
      <c r="M469" s="55"/>
      <c r="N469" s="56"/>
      <c r="O469" s="55"/>
      <c r="P469" s="77">
        <v>549.83799999999997</v>
      </c>
      <c r="Q469" s="82"/>
      <c r="R469" s="82"/>
      <c r="S469" s="82"/>
      <c r="T469" s="82"/>
      <c r="U469" s="170"/>
      <c r="V469" s="82"/>
      <c r="W469" s="160"/>
      <c r="X469" s="82"/>
      <c r="Y469" s="82"/>
      <c r="Z469" s="82"/>
      <c r="AA469" s="82"/>
      <c r="AB469" s="145"/>
      <c r="AC469" s="145"/>
      <c r="AD469" s="145"/>
      <c r="AE469" s="145"/>
      <c r="AF469" s="145"/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6"/>
      <c r="AW469" s="146"/>
      <c r="AX469" s="146"/>
      <c r="AY469" s="146"/>
      <c r="AZ469" s="145"/>
      <c r="BA469" s="146"/>
      <c r="BB469" s="145"/>
      <c r="BC469" s="145"/>
      <c r="BD469" s="145"/>
      <c r="BE469" s="145"/>
      <c r="BF469" s="145"/>
      <c r="BG469" s="145"/>
      <c r="BH469" s="145"/>
      <c r="BI469" s="145"/>
      <c r="BJ469" s="145"/>
      <c r="BK469" s="145"/>
    </row>
    <row r="470" spans="1:63" s="147" customFormat="1" ht="15" x14ac:dyDescent="0.25">
      <c r="A470" s="52"/>
      <c r="B470" s="53" t="s">
        <v>215</v>
      </c>
      <c r="C470" s="104" t="s">
        <v>216</v>
      </c>
      <c r="D470" s="104"/>
      <c r="E470" s="104"/>
      <c r="F470" s="104"/>
      <c r="G470" s="104"/>
      <c r="H470" s="54" t="s">
        <v>60</v>
      </c>
      <c r="I470" s="58">
        <v>121</v>
      </c>
      <c r="J470" s="55"/>
      <c r="K470" s="58">
        <v>121</v>
      </c>
      <c r="L470" s="56"/>
      <c r="M470" s="55"/>
      <c r="N470" s="56"/>
      <c r="O470" s="55"/>
      <c r="P470" s="77">
        <v>665.30949999999996</v>
      </c>
      <c r="Q470" s="82"/>
      <c r="R470" s="82"/>
      <c r="S470" s="82"/>
      <c r="T470" s="82"/>
      <c r="U470" s="170"/>
      <c r="V470" s="82"/>
      <c r="W470" s="164"/>
      <c r="X470" s="82"/>
      <c r="Y470" s="82"/>
      <c r="Z470" s="82"/>
      <c r="AA470" s="82"/>
      <c r="AB470" s="145"/>
      <c r="AC470" s="145"/>
      <c r="AD470" s="145"/>
      <c r="AE470" s="145"/>
      <c r="AF470" s="145"/>
      <c r="AG470" s="145"/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  <c r="AU470" s="145"/>
      <c r="AV470" s="146"/>
      <c r="AW470" s="146"/>
      <c r="AX470" s="146"/>
      <c r="AY470" s="146"/>
      <c r="AZ470" s="145"/>
      <c r="BA470" s="146"/>
      <c r="BB470" s="145"/>
      <c r="BC470" s="145"/>
      <c r="BD470" s="145"/>
      <c r="BE470" s="145"/>
      <c r="BF470" s="145"/>
      <c r="BG470" s="145"/>
      <c r="BH470" s="145"/>
      <c r="BI470" s="145"/>
      <c r="BJ470" s="145"/>
      <c r="BK470" s="145"/>
    </row>
    <row r="471" spans="1:63" s="147" customFormat="1" ht="15" x14ac:dyDescent="0.25">
      <c r="A471" s="52"/>
      <c r="B471" s="53" t="s">
        <v>217</v>
      </c>
      <c r="C471" s="104" t="s">
        <v>218</v>
      </c>
      <c r="D471" s="104"/>
      <c r="E471" s="104"/>
      <c r="F471" s="104"/>
      <c r="G471" s="104"/>
      <c r="H471" s="54" t="s">
        <v>60</v>
      </c>
      <c r="I471" s="58">
        <v>72</v>
      </c>
      <c r="J471" s="55"/>
      <c r="K471" s="58">
        <v>72</v>
      </c>
      <c r="L471" s="56"/>
      <c r="M471" s="55"/>
      <c r="N471" s="56"/>
      <c r="O471" s="55"/>
      <c r="P471" s="77">
        <v>395.88749999999999</v>
      </c>
      <c r="Q471" s="82"/>
      <c r="R471" s="82"/>
      <c r="S471" s="82"/>
      <c r="T471" s="82"/>
      <c r="U471" s="170"/>
      <c r="V471" s="82"/>
      <c r="W471" s="164"/>
      <c r="X471" s="82"/>
      <c r="Y471" s="82"/>
      <c r="Z471" s="82"/>
      <c r="AA471" s="82"/>
      <c r="AB471" s="145"/>
      <c r="AC471" s="145"/>
      <c r="AD471" s="145"/>
      <c r="AE471" s="145"/>
      <c r="AF471" s="145"/>
      <c r="AG471" s="145"/>
      <c r="AH471" s="145"/>
      <c r="AI471" s="145"/>
      <c r="AJ471" s="145"/>
      <c r="AK471" s="145"/>
      <c r="AL471" s="145"/>
      <c r="AM471" s="145"/>
      <c r="AN471" s="145"/>
      <c r="AO471" s="145"/>
      <c r="AP471" s="145"/>
      <c r="AQ471" s="145"/>
      <c r="AR471" s="145"/>
      <c r="AS471" s="145"/>
      <c r="AT471" s="145"/>
      <c r="AU471" s="145"/>
      <c r="AV471" s="146"/>
      <c r="AW471" s="146"/>
      <c r="AX471" s="146"/>
      <c r="AY471" s="146"/>
      <c r="AZ471" s="145"/>
      <c r="BA471" s="146"/>
      <c r="BB471" s="145"/>
      <c r="BC471" s="145"/>
      <c r="BD471" s="145"/>
      <c r="BE471" s="145"/>
      <c r="BF471" s="145"/>
      <c r="BG471" s="145"/>
      <c r="BH471" s="145"/>
      <c r="BI471" s="145"/>
      <c r="BJ471" s="145"/>
      <c r="BK471" s="145"/>
    </row>
    <row r="472" spans="1:63" s="147" customFormat="1" ht="15" x14ac:dyDescent="0.25">
      <c r="A472" s="59"/>
      <c r="B472" s="98"/>
      <c r="C472" s="102" t="s">
        <v>63</v>
      </c>
      <c r="D472" s="102"/>
      <c r="E472" s="102"/>
      <c r="F472" s="102"/>
      <c r="G472" s="102"/>
      <c r="H472" s="41"/>
      <c r="I472" s="42"/>
      <c r="J472" s="42"/>
      <c r="K472" s="42"/>
      <c r="L472" s="45"/>
      <c r="M472" s="42"/>
      <c r="N472" s="49">
        <v>70486</v>
      </c>
      <c r="O472" s="42"/>
      <c r="P472" s="50">
        <v>1621.1779999999999</v>
      </c>
      <c r="Q472" s="82"/>
      <c r="R472" s="82"/>
      <c r="S472" s="82"/>
      <c r="T472" s="82"/>
      <c r="U472" s="156"/>
      <c r="V472" s="82"/>
      <c r="W472" s="151"/>
      <c r="X472" s="82"/>
      <c r="Y472" s="82"/>
      <c r="Z472" s="82"/>
      <c r="AA472" s="82"/>
      <c r="AB472" s="145"/>
      <c r="AC472" s="145"/>
      <c r="AD472" s="145"/>
      <c r="AE472" s="145"/>
      <c r="AF472" s="145"/>
      <c r="AG472" s="145"/>
      <c r="AH472" s="145"/>
      <c r="AI472" s="145"/>
      <c r="AJ472" s="145"/>
      <c r="AK472" s="145"/>
      <c r="AL472" s="145"/>
      <c r="AM472" s="145"/>
      <c r="AN472" s="145"/>
      <c r="AO472" s="145"/>
      <c r="AP472" s="145"/>
      <c r="AQ472" s="145"/>
      <c r="AR472" s="145"/>
      <c r="AS472" s="145"/>
      <c r="AT472" s="145"/>
      <c r="AU472" s="145"/>
      <c r="AV472" s="146"/>
      <c r="AW472" s="146"/>
      <c r="AX472" s="146"/>
      <c r="AY472" s="146"/>
      <c r="AZ472" s="145"/>
      <c r="BA472" s="146"/>
      <c r="BB472" s="145"/>
      <c r="BC472" s="145"/>
      <c r="BD472" s="145"/>
      <c r="BE472" s="145"/>
      <c r="BF472" s="145"/>
      <c r="BG472" s="145"/>
      <c r="BH472" s="145"/>
      <c r="BI472" s="145"/>
      <c r="BJ472" s="145"/>
      <c r="BK472" s="145"/>
    </row>
    <row r="473" spans="1:63" s="147" customFormat="1" ht="15" x14ac:dyDescent="0.25">
      <c r="A473" s="39" t="s">
        <v>497</v>
      </c>
      <c r="B473" s="97" t="s">
        <v>242</v>
      </c>
      <c r="C473" s="103" t="s">
        <v>243</v>
      </c>
      <c r="D473" s="103"/>
      <c r="E473" s="103"/>
      <c r="F473" s="103"/>
      <c r="G473" s="103"/>
      <c r="H473" s="41" t="s">
        <v>244</v>
      </c>
      <c r="I473" s="42">
        <v>1.996</v>
      </c>
      <c r="J473" s="43">
        <v>1</v>
      </c>
      <c r="K473" s="66">
        <v>1.996</v>
      </c>
      <c r="L473" s="61">
        <v>324.68</v>
      </c>
      <c r="M473" s="62">
        <v>1.01</v>
      </c>
      <c r="N473" s="61">
        <v>327.93</v>
      </c>
      <c r="O473" s="42"/>
      <c r="P473" s="50">
        <v>752.73249999999985</v>
      </c>
      <c r="Q473" s="82"/>
      <c r="R473" s="82"/>
      <c r="S473" s="82"/>
      <c r="T473" s="82"/>
      <c r="U473" s="167"/>
      <c r="V473" s="82"/>
      <c r="W473" s="171"/>
      <c r="X473" s="82"/>
      <c r="Y473" s="82"/>
      <c r="Z473" s="82"/>
      <c r="AA473" s="82"/>
      <c r="AB473" s="145"/>
      <c r="AC473" s="145"/>
      <c r="AD473" s="145"/>
      <c r="AE473" s="145"/>
      <c r="AF473" s="145"/>
      <c r="AG473" s="145"/>
      <c r="AH473" s="145"/>
      <c r="AI473" s="145"/>
      <c r="AJ473" s="145"/>
      <c r="AK473" s="145"/>
      <c r="AL473" s="145"/>
      <c r="AM473" s="145"/>
      <c r="AN473" s="145"/>
      <c r="AO473" s="145"/>
      <c r="AP473" s="145"/>
      <c r="AQ473" s="145"/>
      <c r="AR473" s="145"/>
      <c r="AS473" s="145"/>
      <c r="AT473" s="145"/>
      <c r="AU473" s="145"/>
      <c r="AV473" s="146"/>
      <c r="AW473" s="146"/>
      <c r="AX473" s="146"/>
      <c r="AY473" s="146"/>
      <c r="AZ473" s="145"/>
      <c r="BA473" s="146"/>
      <c r="BB473" s="145"/>
      <c r="BC473" s="145"/>
      <c r="BD473" s="145"/>
      <c r="BE473" s="145"/>
      <c r="BF473" s="145"/>
      <c r="BG473" s="145"/>
      <c r="BH473" s="145"/>
      <c r="BI473" s="145"/>
      <c r="BJ473" s="145"/>
      <c r="BK473" s="145"/>
    </row>
    <row r="474" spans="1:63" s="147" customFormat="1" ht="15" x14ac:dyDescent="0.25">
      <c r="A474" s="59"/>
      <c r="B474" s="98"/>
      <c r="C474" s="102" t="s">
        <v>63</v>
      </c>
      <c r="D474" s="102"/>
      <c r="E474" s="102"/>
      <c r="F474" s="102"/>
      <c r="G474" s="102"/>
      <c r="H474" s="41"/>
      <c r="I474" s="42"/>
      <c r="J474" s="42"/>
      <c r="K474" s="42"/>
      <c r="L474" s="45"/>
      <c r="M474" s="42"/>
      <c r="N474" s="45"/>
      <c r="O474" s="42"/>
      <c r="P474" s="50">
        <v>752.73249999999985</v>
      </c>
      <c r="Q474" s="82"/>
      <c r="R474" s="82"/>
      <c r="S474" s="82"/>
      <c r="T474" s="82"/>
      <c r="U474" s="167"/>
      <c r="V474" s="82"/>
      <c r="W474" s="151"/>
      <c r="X474" s="82"/>
      <c r="Y474" s="82"/>
      <c r="Z474" s="82"/>
      <c r="AA474" s="82"/>
      <c r="AB474" s="145"/>
      <c r="AC474" s="145"/>
      <c r="AD474" s="145"/>
      <c r="AE474" s="145"/>
      <c r="AF474" s="145"/>
      <c r="AG474" s="145"/>
      <c r="AH474" s="145"/>
      <c r="AI474" s="145"/>
      <c r="AJ474" s="145"/>
      <c r="AK474" s="145"/>
      <c r="AL474" s="145"/>
      <c r="AM474" s="145"/>
      <c r="AN474" s="145"/>
      <c r="AO474" s="145"/>
      <c r="AP474" s="145"/>
      <c r="AQ474" s="145"/>
      <c r="AR474" s="145"/>
      <c r="AS474" s="145"/>
      <c r="AT474" s="145"/>
      <c r="AU474" s="145"/>
      <c r="AV474" s="146"/>
      <c r="AW474" s="146"/>
      <c r="AX474" s="146"/>
      <c r="AY474" s="146"/>
      <c r="AZ474" s="145"/>
      <c r="BA474" s="146"/>
      <c r="BB474" s="145"/>
      <c r="BC474" s="145"/>
      <c r="BD474" s="145"/>
      <c r="BE474" s="145"/>
      <c r="BF474" s="145"/>
      <c r="BG474" s="145"/>
      <c r="BH474" s="145"/>
      <c r="BI474" s="145"/>
      <c r="BJ474" s="145"/>
      <c r="BK474" s="145"/>
    </row>
    <row r="475" spans="1:63" s="147" customFormat="1" ht="15" x14ac:dyDescent="0.25">
      <c r="A475" s="39" t="s">
        <v>625</v>
      </c>
      <c r="B475" s="97" t="s">
        <v>246</v>
      </c>
      <c r="C475" s="103" t="s">
        <v>247</v>
      </c>
      <c r="D475" s="103"/>
      <c r="E475" s="103"/>
      <c r="F475" s="103"/>
      <c r="G475" s="103"/>
      <c r="H475" s="41" t="s">
        <v>83</v>
      </c>
      <c r="I475" s="42">
        <v>1</v>
      </c>
      <c r="J475" s="43">
        <v>1</v>
      </c>
      <c r="K475" s="43">
        <v>1</v>
      </c>
      <c r="L475" s="61">
        <v>111.78</v>
      </c>
      <c r="M475" s="62">
        <v>1.01</v>
      </c>
      <c r="N475" s="61">
        <v>112.9</v>
      </c>
      <c r="O475" s="42"/>
      <c r="P475" s="50">
        <v>129.83500000000001</v>
      </c>
      <c r="Q475" s="82"/>
      <c r="R475" s="82"/>
      <c r="S475" s="82"/>
      <c r="T475" s="82"/>
      <c r="U475" s="167"/>
      <c r="V475" s="82"/>
      <c r="W475" s="152"/>
      <c r="X475" s="82"/>
      <c r="Y475" s="82"/>
      <c r="Z475" s="82"/>
      <c r="AA475" s="82"/>
      <c r="AB475" s="145"/>
      <c r="AC475" s="145"/>
      <c r="AD475" s="145"/>
      <c r="AE475" s="145"/>
      <c r="AF475" s="145"/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6"/>
      <c r="AW475" s="146"/>
      <c r="AX475" s="146"/>
      <c r="AY475" s="146"/>
      <c r="AZ475" s="145"/>
      <c r="BA475" s="146"/>
      <c r="BB475" s="145"/>
      <c r="BC475" s="145"/>
      <c r="BD475" s="145"/>
      <c r="BE475" s="145"/>
      <c r="BF475" s="145"/>
      <c r="BG475" s="145"/>
      <c r="BH475" s="145"/>
      <c r="BI475" s="145"/>
      <c r="BJ475" s="145"/>
      <c r="BK475" s="145"/>
    </row>
    <row r="476" spans="1:63" s="147" customFormat="1" ht="15" x14ac:dyDescent="0.25">
      <c r="A476" s="59"/>
      <c r="B476" s="98"/>
      <c r="C476" s="102" t="s">
        <v>63</v>
      </c>
      <c r="D476" s="102"/>
      <c r="E476" s="102"/>
      <c r="F476" s="102"/>
      <c r="G476" s="102"/>
      <c r="H476" s="41"/>
      <c r="I476" s="42"/>
      <c r="J476" s="42"/>
      <c r="K476" s="42"/>
      <c r="L476" s="45"/>
      <c r="M476" s="42"/>
      <c r="N476" s="45"/>
      <c r="O476" s="42"/>
      <c r="P476" s="50">
        <v>129.83500000000001</v>
      </c>
      <c r="Q476" s="82"/>
      <c r="R476" s="82"/>
      <c r="S476" s="82"/>
      <c r="T476" s="82"/>
      <c r="U476" s="167"/>
      <c r="V476" s="82"/>
      <c r="W476" s="151"/>
      <c r="X476" s="82"/>
      <c r="Y476" s="82"/>
      <c r="Z476" s="82"/>
      <c r="AA476" s="82"/>
      <c r="AB476" s="145"/>
      <c r="AC476" s="145"/>
      <c r="AD476" s="145"/>
      <c r="AE476" s="145"/>
      <c r="AF476" s="145"/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6"/>
      <c r="AW476" s="146"/>
      <c r="AX476" s="146"/>
      <c r="AY476" s="146"/>
      <c r="AZ476" s="145"/>
      <c r="BA476" s="146"/>
      <c r="BB476" s="145"/>
      <c r="BC476" s="145"/>
      <c r="BD476" s="145"/>
      <c r="BE476" s="145"/>
      <c r="BF476" s="145"/>
      <c r="BG476" s="145"/>
      <c r="BH476" s="145"/>
      <c r="BI476" s="145"/>
      <c r="BJ476" s="145"/>
      <c r="BK476" s="145"/>
    </row>
    <row r="477" spans="1:63" s="147" customFormat="1" ht="15" x14ac:dyDescent="0.25">
      <c r="A477" s="39" t="s">
        <v>626</v>
      </c>
      <c r="B477" s="97" t="s">
        <v>249</v>
      </c>
      <c r="C477" s="103" t="s">
        <v>250</v>
      </c>
      <c r="D477" s="103"/>
      <c r="E477" s="103"/>
      <c r="F477" s="103"/>
      <c r="G477" s="103"/>
      <c r="H477" s="41" t="s">
        <v>83</v>
      </c>
      <c r="I477" s="42">
        <v>1</v>
      </c>
      <c r="J477" s="43">
        <v>1</v>
      </c>
      <c r="K477" s="43">
        <v>1</v>
      </c>
      <c r="L477" s="61">
        <v>69.52</v>
      </c>
      <c r="M477" s="62">
        <v>1.01</v>
      </c>
      <c r="N477" s="61">
        <v>70.22</v>
      </c>
      <c r="O477" s="42"/>
      <c r="P477" s="50">
        <v>80.752999999999986</v>
      </c>
      <c r="Q477" s="82"/>
      <c r="R477" s="82"/>
      <c r="S477" s="82"/>
      <c r="T477" s="82"/>
      <c r="U477" s="167"/>
      <c r="V477" s="82"/>
      <c r="W477" s="152"/>
      <c r="X477" s="82"/>
      <c r="Y477" s="82"/>
      <c r="Z477" s="82"/>
      <c r="AA477" s="82"/>
      <c r="AB477" s="145"/>
      <c r="AC477" s="145"/>
      <c r="AD477" s="145"/>
      <c r="AE477" s="145"/>
      <c r="AF477" s="145"/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6"/>
      <c r="AW477" s="146"/>
      <c r="AX477" s="146"/>
      <c r="AY477" s="146"/>
      <c r="AZ477" s="145"/>
      <c r="BA477" s="146"/>
      <c r="BB477" s="145"/>
      <c r="BC477" s="145"/>
      <c r="BD477" s="145"/>
      <c r="BE477" s="145"/>
      <c r="BF477" s="145"/>
      <c r="BG477" s="145"/>
      <c r="BH477" s="145"/>
      <c r="BI477" s="145"/>
      <c r="BJ477" s="145"/>
      <c r="BK477" s="145"/>
    </row>
    <row r="478" spans="1:63" s="147" customFormat="1" ht="15" x14ac:dyDescent="0.25">
      <c r="A478" s="59"/>
      <c r="B478" s="98"/>
      <c r="C478" s="102" t="s">
        <v>63</v>
      </c>
      <c r="D478" s="102"/>
      <c r="E478" s="102"/>
      <c r="F478" s="102"/>
      <c r="G478" s="102"/>
      <c r="H478" s="41"/>
      <c r="I478" s="42"/>
      <c r="J478" s="42"/>
      <c r="K478" s="42"/>
      <c r="L478" s="45"/>
      <c r="M478" s="42"/>
      <c r="N478" s="45"/>
      <c r="O478" s="42"/>
      <c r="P478" s="50">
        <v>80.752999999999986</v>
      </c>
      <c r="Q478" s="82"/>
      <c r="R478" s="82"/>
      <c r="S478" s="82"/>
      <c r="T478" s="82"/>
      <c r="U478" s="167"/>
      <c r="V478" s="82"/>
      <c r="W478" s="151"/>
      <c r="X478" s="82"/>
      <c r="Y478" s="82"/>
      <c r="Z478" s="82"/>
      <c r="AA478" s="82"/>
      <c r="AB478" s="145"/>
      <c r="AC478" s="145"/>
      <c r="AD478" s="145"/>
      <c r="AE478" s="145"/>
      <c r="AF478" s="145"/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6"/>
      <c r="AW478" s="146"/>
      <c r="AX478" s="146"/>
      <c r="AY478" s="146"/>
      <c r="AZ478" s="145"/>
      <c r="BA478" s="146"/>
      <c r="BB478" s="145"/>
      <c r="BC478" s="145"/>
      <c r="BD478" s="145"/>
      <c r="BE478" s="145"/>
      <c r="BF478" s="145"/>
      <c r="BG478" s="145"/>
      <c r="BH478" s="145"/>
      <c r="BI478" s="145"/>
      <c r="BJ478" s="145"/>
      <c r="BK478" s="145"/>
    </row>
    <row r="479" spans="1:63" s="147" customFormat="1" ht="15" x14ac:dyDescent="0.25">
      <c r="A479" s="39" t="s">
        <v>627</v>
      </c>
      <c r="B479" s="97" t="s">
        <v>252</v>
      </c>
      <c r="C479" s="103" t="s">
        <v>253</v>
      </c>
      <c r="D479" s="103"/>
      <c r="E479" s="103"/>
      <c r="F479" s="103"/>
      <c r="G479" s="103"/>
      <c r="H479" s="41" t="s">
        <v>125</v>
      </c>
      <c r="I479" s="42">
        <v>0.01</v>
      </c>
      <c r="J479" s="43">
        <v>1</v>
      </c>
      <c r="K479" s="62">
        <v>0.01</v>
      </c>
      <c r="L479" s="45"/>
      <c r="M479" s="42"/>
      <c r="N479" s="45"/>
      <c r="O479" s="42"/>
      <c r="P479" s="50">
        <v>0</v>
      </c>
      <c r="Q479" s="82"/>
      <c r="R479" s="82"/>
      <c r="S479" s="82"/>
      <c r="T479" s="82"/>
      <c r="U479" s="153"/>
      <c r="V479" s="82"/>
      <c r="W479" s="168"/>
      <c r="X479" s="82"/>
      <c r="Y479" s="82"/>
      <c r="Z479" s="82"/>
      <c r="AA479" s="82"/>
      <c r="AB479" s="145"/>
      <c r="AC479" s="145"/>
      <c r="AD479" s="145"/>
      <c r="AE479" s="145"/>
      <c r="AF479" s="145"/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6"/>
      <c r="AW479" s="146"/>
      <c r="AX479" s="146"/>
      <c r="AY479" s="146"/>
      <c r="AZ479" s="145"/>
      <c r="BA479" s="146"/>
      <c r="BB479" s="145"/>
      <c r="BC479" s="145"/>
      <c r="BD479" s="145"/>
      <c r="BE479" s="145"/>
      <c r="BF479" s="145"/>
      <c r="BG479" s="145"/>
      <c r="BH479" s="145"/>
      <c r="BI479" s="145"/>
      <c r="BJ479" s="145"/>
      <c r="BK479" s="145"/>
    </row>
    <row r="480" spans="1:63" s="147" customFormat="1" ht="15" x14ac:dyDescent="0.25">
      <c r="A480" s="47"/>
      <c r="B480" s="48"/>
      <c r="C480" s="102" t="s">
        <v>56</v>
      </c>
      <c r="D480" s="102"/>
      <c r="E480" s="102"/>
      <c r="F480" s="102"/>
      <c r="G480" s="102"/>
      <c r="H480" s="41"/>
      <c r="I480" s="42"/>
      <c r="J480" s="42"/>
      <c r="K480" s="42"/>
      <c r="L480" s="45"/>
      <c r="M480" s="42"/>
      <c r="N480" s="49"/>
      <c r="O480" s="42"/>
      <c r="P480" s="50">
        <v>288.6155</v>
      </c>
      <c r="Q480" s="157"/>
      <c r="R480" s="157"/>
      <c r="S480" s="82"/>
      <c r="T480" s="82"/>
      <c r="U480" s="156"/>
      <c r="V480" s="82"/>
      <c r="W480" s="151"/>
      <c r="X480" s="82"/>
      <c r="Y480" s="82"/>
      <c r="Z480" s="82"/>
      <c r="AA480" s="82"/>
      <c r="AB480" s="145"/>
      <c r="AC480" s="145"/>
      <c r="AD480" s="145"/>
      <c r="AE480" s="145"/>
      <c r="AF480" s="145"/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6"/>
      <c r="AW480" s="146"/>
      <c r="AX480" s="146"/>
      <c r="AY480" s="146"/>
      <c r="AZ480" s="145"/>
      <c r="BA480" s="146"/>
      <c r="BB480" s="145"/>
      <c r="BC480" s="145"/>
      <c r="BD480" s="145"/>
      <c r="BE480" s="145"/>
      <c r="BF480" s="145"/>
      <c r="BG480" s="145"/>
      <c r="BH480" s="145"/>
      <c r="BI480" s="145"/>
      <c r="BJ480" s="145"/>
      <c r="BK480" s="145"/>
    </row>
    <row r="481" spans="1:63" s="147" customFormat="1" ht="15" x14ac:dyDescent="0.25">
      <c r="A481" s="52"/>
      <c r="B481" s="53"/>
      <c r="C481" s="104" t="s">
        <v>57</v>
      </c>
      <c r="D481" s="104"/>
      <c r="E481" s="104"/>
      <c r="F481" s="104"/>
      <c r="G481" s="104"/>
      <c r="H481" s="54"/>
      <c r="I481" s="55"/>
      <c r="J481" s="55"/>
      <c r="K481" s="55"/>
      <c r="L481" s="56"/>
      <c r="M481" s="55"/>
      <c r="N481" s="56"/>
      <c r="O481" s="55"/>
      <c r="P481" s="77">
        <v>286.45349999999996</v>
      </c>
      <c r="Q481" s="82"/>
      <c r="R481" s="82"/>
      <c r="S481" s="82"/>
      <c r="T481" s="82"/>
      <c r="U481" s="170"/>
      <c r="V481" s="82"/>
      <c r="W481" s="160"/>
      <c r="X481" s="82"/>
      <c r="Y481" s="82"/>
      <c r="Z481" s="82"/>
      <c r="AA481" s="82"/>
      <c r="AB481" s="145"/>
      <c r="AC481" s="145"/>
      <c r="AD481" s="145"/>
      <c r="AE481" s="145"/>
      <c r="AF481" s="145"/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6"/>
      <c r="AW481" s="146"/>
      <c r="AX481" s="146"/>
      <c r="AY481" s="146"/>
      <c r="AZ481" s="145"/>
      <c r="BA481" s="146"/>
      <c r="BB481" s="145"/>
      <c r="BC481" s="145"/>
      <c r="BD481" s="145"/>
      <c r="BE481" s="145"/>
      <c r="BF481" s="145"/>
      <c r="BG481" s="145"/>
      <c r="BH481" s="145"/>
      <c r="BI481" s="145"/>
      <c r="BJ481" s="145"/>
      <c r="BK481" s="145"/>
    </row>
    <row r="482" spans="1:63" s="147" customFormat="1" ht="15" x14ac:dyDescent="0.25">
      <c r="A482" s="52"/>
      <c r="B482" s="53" t="s">
        <v>215</v>
      </c>
      <c r="C482" s="104" t="s">
        <v>216</v>
      </c>
      <c r="D482" s="104"/>
      <c r="E482" s="104"/>
      <c r="F482" s="104"/>
      <c r="G482" s="104"/>
      <c r="H482" s="54" t="s">
        <v>60</v>
      </c>
      <c r="I482" s="58">
        <v>121</v>
      </c>
      <c r="J482" s="55"/>
      <c r="K482" s="58">
        <v>121</v>
      </c>
      <c r="L482" s="56"/>
      <c r="M482" s="55"/>
      <c r="N482" s="56"/>
      <c r="O482" s="55"/>
      <c r="P482" s="77">
        <v>346.60999999999996</v>
      </c>
      <c r="Q482" s="82"/>
      <c r="R482" s="82"/>
      <c r="S482" s="82"/>
      <c r="T482" s="82"/>
      <c r="U482" s="170"/>
      <c r="V482" s="82"/>
      <c r="W482" s="164"/>
      <c r="X482" s="82"/>
      <c r="Y482" s="82"/>
      <c r="Z482" s="82"/>
      <c r="AA482" s="82"/>
      <c r="AB482" s="145"/>
      <c r="AC482" s="145"/>
      <c r="AD482" s="145"/>
      <c r="AE482" s="145"/>
      <c r="AF482" s="145"/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6"/>
      <c r="AW482" s="146"/>
      <c r="AX482" s="146"/>
      <c r="AY482" s="146"/>
      <c r="AZ482" s="145"/>
      <c r="BA482" s="146"/>
      <c r="BB482" s="145"/>
      <c r="BC482" s="145"/>
      <c r="BD482" s="145"/>
      <c r="BE482" s="145"/>
      <c r="BF482" s="145"/>
      <c r="BG482" s="145"/>
      <c r="BH482" s="145"/>
      <c r="BI482" s="145"/>
      <c r="BJ482" s="145"/>
      <c r="BK482" s="145"/>
    </row>
    <row r="483" spans="1:63" s="147" customFormat="1" ht="15" x14ac:dyDescent="0.25">
      <c r="A483" s="52"/>
      <c r="B483" s="53" t="s">
        <v>217</v>
      </c>
      <c r="C483" s="104" t="s">
        <v>218</v>
      </c>
      <c r="D483" s="104"/>
      <c r="E483" s="104"/>
      <c r="F483" s="104"/>
      <c r="G483" s="104"/>
      <c r="H483" s="54" t="s">
        <v>60</v>
      </c>
      <c r="I483" s="58">
        <v>72</v>
      </c>
      <c r="J483" s="55"/>
      <c r="K483" s="58">
        <v>72</v>
      </c>
      <c r="L483" s="56"/>
      <c r="M483" s="55"/>
      <c r="N483" s="56"/>
      <c r="O483" s="55"/>
      <c r="P483" s="77">
        <v>206.24099999999999</v>
      </c>
      <c r="Q483" s="82"/>
      <c r="R483" s="82"/>
      <c r="S483" s="82"/>
      <c r="T483" s="82"/>
      <c r="U483" s="170"/>
      <c r="V483" s="82"/>
      <c r="W483" s="164"/>
      <c r="X483" s="82"/>
      <c r="Y483" s="82"/>
      <c r="Z483" s="82"/>
      <c r="AA483" s="82"/>
      <c r="AB483" s="145"/>
      <c r="AC483" s="145"/>
      <c r="AD483" s="145"/>
      <c r="AE483" s="145"/>
      <c r="AF483" s="145"/>
      <c r="AG483" s="145"/>
      <c r="AH483" s="145"/>
      <c r="AI483" s="145"/>
      <c r="AJ483" s="145"/>
      <c r="AK483" s="145"/>
      <c r="AL483" s="145"/>
      <c r="AM483" s="145"/>
      <c r="AN483" s="145"/>
      <c r="AO483" s="145"/>
      <c r="AP483" s="145"/>
      <c r="AQ483" s="145"/>
      <c r="AR483" s="145"/>
      <c r="AS483" s="145"/>
      <c r="AT483" s="145"/>
      <c r="AU483" s="145"/>
      <c r="AV483" s="146"/>
      <c r="AW483" s="146"/>
      <c r="AX483" s="146"/>
      <c r="AY483" s="146"/>
      <c r="AZ483" s="145"/>
      <c r="BA483" s="146"/>
      <c r="BB483" s="145"/>
      <c r="BC483" s="145"/>
      <c r="BD483" s="145"/>
      <c r="BE483" s="145"/>
      <c r="BF483" s="145"/>
      <c r="BG483" s="145"/>
      <c r="BH483" s="145"/>
      <c r="BI483" s="145"/>
      <c r="BJ483" s="145"/>
      <c r="BK483" s="145"/>
    </row>
    <row r="484" spans="1:63" s="147" customFormat="1" ht="15" x14ac:dyDescent="0.25">
      <c r="A484" s="59"/>
      <c r="B484" s="98"/>
      <c r="C484" s="102" t="s">
        <v>63</v>
      </c>
      <c r="D484" s="102"/>
      <c r="E484" s="102"/>
      <c r="F484" s="102"/>
      <c r="G484" s="102"/>
      <c r="H484" s="41"/>
      <c r="I484" s="42"/>
      <c r="J484" s="42"/>
      <c r="K484" s="42"/>
      <c r="L484" s="45"/>
      <c r="M484" s="42"/>
      <c r="N484" s="49">
        <v>73171</v>
      </c>
      <c r="O484" s="42"/>
      <c r="P484" s="50">
        <v>841.4665</v>
      </c>
      <c r="Q484" s="82"/>
      <c r="R484" s="82"/>
      <c r="S484" s="82"/>
      <c r="T484" s="82"/>
      <c r="U484" s="167"/>
      <c r="V484" s="82"/>
      <c r="W484" s="151"/>
      <c r="X484" s="82"/>
      <c r="Y484" s="82"/>
      <c r="Z484" s="82"/>
      <c r="AA484" s="82"/>
      <c r="AB484" s="145"/>
      <c r="AC484" s="145"/>
      <c r="AD484" s="145"/>
      <c r="AE484" s="145"/>
      <c r="AF484" s="145"/>
      <c r="AG484" s="145"/>
      <c r="AH484" s="145"/>
      <c r="AI484" s="145"/>
      <c r="AJ484" s="145"/>
      <c r="AK484" s="145"/>
      <c r="AL484" s="145"/>
      <c r="AM484" s="145"/>
      <c r="AN484" s="145"/>
      <c r="AO484" s="145"/>
      <c r="AP484" s="145"/>
      <c r="AQ484" s="145"/>
      <c r="AR484" s="145"/>
      <c r="AS484" s="145"/>
      <c r="AT484" s="145"/>
      <c r="AU484" s="145"/>
      <c r="AV484" s="146"/>
      <c r="AW484" s="146"/>
      <c r="AX484" s="146"/>
      <c r="AY484" s="146"/>
      <c r="AZ484" s="145"/>
      <c r="BA484" s="146"/>
      <c r="BB484" s="145"/>
      <c r="BC484" s="145"/>
      <c r="BD484" s="145"/>
      <c r="BE484" s="145"/>
      <c r="BF484" s="145"/>
      <c r="BG484" s="145"/>
      <c r="BH484" s="145"/>
      <c r="BI484" s="145"/>
      <c r="BJ484" s="145"/>
      <c r="BK484" s="145"/>
    </row>
    <row r="485" spans="1:63" s="147" customFormat="1" ht="15" x14ac:dyDescent="0.25">
      <c r="A485" s="39" t="s">
        <v>628</v>
      </c>
      <c r="B485" s="97" t="s">
        <v>255</v>
      </c>
      <c r="C485" s="103" t="s">
        <v>256</v>
      </c>
      <c r="D485" s="103"/>
      <c r="E485" s="103"/>
      <c r="F485" s="103"/>
      <c r="G485" s="103"/>
      <c r="H485" s="41" t="s">
        <v>244</v>
      </c>
      <c r="I485" s="42">
        <v>0.998</v>
      </c>
      <c r="J485" s="43">
        <v>1</v>
      </c>
      <c r="K485" s="66">
        <v>0.998</v>
      </c>
      <c r="L485" s="61">
        <v>134</v>
      </c>
      <c r="M485" s="62">
        <v>1.01</v>
      </c>
      <c r="N485" s="61">
        <v>135.34</v>
      </c>
      <c r="O485" s="42"/>
      <c r="P485" s="50">
        <v>155.33049999999997</v>
      </c>
      <c r="Q485" s="82"/>
      <c r="R485" s="82"/>
      <c r="S485" s="82"/>
      <c r="T485" s="82"/>
      <c r="U485" s="167"/>
      <c r="V485" s="82"/>
      <c r="W485" s="171"/>
      <c r="X485" s="82"/>
      <c r="Y485" s="82"/>
      <c r="Z485" s="82"/>
      <c r="AA485" s="82"/>
      <c r="AB485" s="145"/>
      <c r="AC485" s="145"/>
      <c r="AD485" s="145"/>
      <c r="AE485" s="145"/>
      <c r="AF485" s="145"/>
      <c r="AG485" s="145"/>
      <c r="AH485" s="145"/>
      <c r="AI485" s="145"/>
      <c r="AJ485" s="145"/>
      <c r="AK485" s="145"/>
      <c r="AL485" s="145"/>
      <c r="AM485" s="145"/>
      <c r="AN485" s="145"/>
      <c r="AO485" s="145"/>
      <c r="AP485" s="145"/>
      <c r="AQ485" s="145"/>
      <c r="AR485" s="145"/>
      <c r="AS485" s="145"/>
      <c r="AT485" s="145"/>
      <c r="AU485" s="145"/>
      <c r="AV485" s="146"/>
      <c r="AW485" s="146"/>
      <c r="AX485" s="146"/>
      <c r="AY485" s="146"/>
      <c r="AZ485" s="145"/>
      <c r="BA485" s="146"/>
      <c r="BB485" s="145"/>
      <c r="BC485" s="145"/>
      <c r="BD485" s="145"/>
      <c r="BE485" s="145"/>
      <c r="BF485" s="145"/>
      <c r="BG485" s="145"/>
      <c r="BH485" s="145"/>
      <c r="BI485" s="145"/>
      <c r="BJ485" s="145"/>
      <c r="BK485" s="145"/>
    </row>
    <row r="486" spans="1:63" s="147" customFormat="1" ht="15" x14ac:dyDescent="0.25">
      <c r="A486" s="59"/>
      <c r="B486" s="98"/>
      <c r="C486" s="102" t="s">
        <v>63</v>
      </c>
      <c r="D486" s="102"/>
      <c r="E486" s="102"/>
      <c r="F486" s="102"/>
      <c r="G486" s="102"/>
      <c r="H486" s="41"/>
      <c r="I486" s="42"/>
      <c r="J486" s="42"/>
      <c r="K486" s="42"/>
      <c r="L486" s="45"/>
      <c r="M486" s="42"/>
      <c r="N486" s="45"/>
      <c r="O486" s="42"/>
      <c r="P486" s="50">
        <v>155.33049999999997</v>
      </c>
      <c r="Q486" s="82"/>
      <c r="R486" s="82"/>
      <c r="S486" s="82"/>
      <c r="T486" s="82"/>
      <c r="U486" s="167"/>
      <c r="V486" s="82"/>
      <c r="W486" s="151"/>
      <c r="X486" s="82"/>
      <c r="Y486" s="82"/>
      <c r="Z486" s="82"/>
      <c r="AA486" s="82"/>
      <c r="AB486" s="145"/>
      <c r="AC486" s="145"/>
      <c r="AD486" s="145"/>
      <c r="AE486" s="145"/>
      <c r="AF486" s="145"/>
      <c r="AG486" s="145"/>
      <c r="AH486" s="145"/>
      <c r="AI486" s="145"/>
      <c r="AJ486" s="145"/>
      <c r="AK486" s="145"/>
      <c r="AL486" s="145"/>
      <c r="AM486" s="145"/>
      <c r="AN486" s="145"/>
      <c r="AO486" s="145"/>
      <c r="AP486" s="145"/>
      <c r="AQ486" s="145"/>
      <c r="AR486" s="145"/>
      <c r="AS486" s="145"/>
      <c r="AT486" s="145"/>
      <c r="AU486" s="145"/>
      <c r="AV486" s="146"/>
      <c r="AW486" s="146"/>
      <c r="AX486" s="146"/>
      <c r="AY486" s="146"/>
      <c r="AZ486" s="145"/>
      <c r="BA486" s="146"/>
      <c r="BB486" s="145"/>
      <c r="BC486" s="145"/>
      <c r="BD486" s="145"/>
      <c r="BE486" s="145"/>
      <c r="BF486" s="145"/>
      <c r="BG486" s="145"/>
      <c r="BH486" s="145"/>
      <c r="BI486" s="145"/>
      <c r="BJ486" s="145"/>
      <c r="BK486" s="145"/>
    </row>
    <row r="487" spans="1:63" s="147" customFormat="1" ht="15" x14ac:dyDescent="0.25">
      <c r="A487" s="39" t="s">
        <v>629</v>
      </c>
      <c r="B487" s="97" t="s">
        <v>258</v>
      </c>
      <c r="C487" s="103" t="s">
        <v>259</v>
      </c>
      <c r="D487" s="103"/>
      <c r="E487" s="103"/>
      <c r="F487" s="103"/>
      <c r="G487" s="103"/>
      <c r="H487" s="41" t="s">
        <v>83</v>
      </c>
      <c r="I487" s="42">
        <v>1</v>
      </c>
      <c r="J487" s="43">
        <v>1</v>
      </c>
      <c r="K487" s="43">
        <v>1</v>
      </c>
      <c r="L487" s="61">
        <v>26.78</v>
      </c>
      <c r="M487" s="62">
        <v>1.01</v>
      </c>
      <c r="N487" s="61">
        <v>27.05</v>
      </c>
      <c r="O487" s="42"/>
      <c r="P487" s="50">
        <v>31.107499999999998</v>
      </c>
      <c r="Q487" s="82"/>
      <c r="R487" s="82"/>
      <c r="S487" s="82"/>
      <c r="T487" s="82"/>
      <c r="U487" s="167"/>
      <c r="V487" s="82"/>
      <c r="W487" s="152"/>
      <c r="X487" s="82"/>
      <c r="Y487" s="82"/>
      <c r="Z487" s="82"/>
      <c r="AA487" s="82"/>
      <c r="AB487" s="145"/>
      <c r="AC487" s="145"/>
      <c r="AD487" s="145"/>
      <c r="AE487" s="145"/>
      <c r="AF487" s="145"/>
      <c r="AG487" s="145"/>
      <c r="AH487" s="145"/>
      <c r="AI487" s="145"/>
      <c r="AJ487" s="145"/>
      <c r="AK487" s="145"/>
      <c r="AL487" s="145"/>
      <c r="AM487" s="145"/>
      <c r="AN487" s="145"/>
      <c r="AO487" s="145"/>
      <c r="AP487" s="145"/>
      <c r="AQ487" s="145"/>
      <c r="AR487" s="145"/>
      <c r="AS487" s="145"/>
      <c r="AT487" s="145"/>
      <c r="AU487" s="145"/>
      <c r="AV487" s="146"/>
      <c r="AW487" s="146"/>
      <c r="AX487" s="146"/>
      <c r="AY487" s="146"/>
      <c r="AZ487" s="145"/>
      <c r="BA487" s="146"/>
      <c r="BB487" s="145"/>
      <c r="BC487" s="145"/>
      <c r="BD487" s="145"/>
      <c r="BE487" s="145"/>
      <c r="BF487" s="145"/>
      <c r="BG487" s="145"/>
      <c r="BH487" s="145"/>
      <c r="BI487" s="145"/>
      <c r="BJ487" s="145"/>
      <c r="BK487" s="145"/>
    </row>
    <row r="488" spans="1:63" s="147" customFormat="1" ht="15" x14ac:dyDescent="0.25">
      <c r="A488" s="59"/>
      <c r="B488" s="98"/>
      <c r="C488" s="102" t="s">
        <v>63</v>
      </c>
      <c r="D488" s="102"/>
      <c r="E488" s="102"/>
      <c r="F488" s="102"/>
      <c r="G488" s="102"/>
      <c r="H488" s="41"/>
      <c r="I488" s="42"/>
      <c r="J488" s="42"/>
      <c r="K488" s="42"/>
      <c r="L488" s="45"/>
      <c r="M488" s="42"/>
      <c r="N488" s="45"/>
      <c r="O488" s="42"/>
      <c r="P488" s="50">
        <v>31.107499999999998</v>
      </c>
      <c r="Q488" s="82"/>
      <c r="R488" s="82"/>
      <c r="S488" s="82"/>
      <c r="T488" s="82"/>
      <c r="U488" s="167"/>
      <c r="V488" s="82"/>
      <c r="W488" s="151"/>
      <c r="X488" s="82"/>
      <c r="Y488" s="82"/>
      <c r="Z488" s="82"/>
      <c r="AA488" s="82"/>
      <c r="AB488" s="145"/>
      <c r="AC488" s="145"/>
      <c r="AD488" s="145"/>
      <c r="AE488" s="145"/>
      <c r="AF488" s="145"/>
      <c r="AG488" s="145"/>
      <c r="AH488" s="145"/>
      <c r="AI488" s="145"/>
      <c r="AJ488" s="145"/>
      <c r="AK488" s="145"/>
      <c r="AL488" s="145"/>
      <c r="AM488" s="145"/>
      <c r="AN488" s="145"/>
      <c r="AO488" s="145"/>
      <c r="AP488" s="145"/>
      <c r="AQ488" s="145"/>
      <c r="AR488" s="145"/>
      <c r="AS488" s="145"/>
      <c r="AT488" s="145"/>
      <c r="AU488" s="145"/>
      <c r="AV488" s="146"/>
      <c r="AW488" s="146"/>
      <c r="AX488" s="146"/>
      <c r="AY488" s="146"/>
      <c r="AZ488" s="145"/>
      <c r="BA488" s="146"/>
      <c r="BB488" s="145"/>
      <c r="BC488" s="145"/>
      <c r="BD488" s="145"/>
      <c r="BE488" s="145"/>
      <c r="BF488" s="145"/>
      <c r="BG488" s="145"/>
      <c r="BH488" s="145"/>
      <c r="BI488" s="145"/>
      <c r="BJ488" s="145"/>
      <c r="BK488" s="145"/>
    </row>
    <row r="489" spans="1:63" s="147" customFormat="1" ht="33.75" x14ac:dyDescent="0.25">
      <c r="A489" s="39" t="s">
        <v>630</v>
      </c>
      <c r="B489" s="97" t="s">
        <v>261</v>
      </c>
      <c r="C489" s="103" t="s">
        <v>262</v>
      </c>
      <c r="D489" s="103"/>
      <c r="E489" s="103"/>
      <c r="F489" s="103"/>
      <c r="G489" s="103"/>
      <c r="H489" s="41" t="s">
        <v>263</v>
      </c>
      <c r="I489" s="42">
        <v>0.14000000000000001</v>
      </c>
      <c r="J489" s="43">
        <v>1</v>
      </c>
      <c r="K489" s="62">
        <v>0.14000000000000001</v>
      </c>
      <c r="L489" s="45"/>
      <c r="M489" s="42"/>
      <c r="N489" s="45"/>
      <c r="O489" s="42"/>
      <c r="P489" s="50">
        <v>0</v>
      </c>
      <c r="Q489" s="82"/>
      <c r="R489" s="82"/>
      <c r="S489" s="82"/>
      <c r="T489" s="82"/>
      <c r="U489" s="153"/>
      <c r="V489" s="82"/>
      <c r="W489" s="168"/>
      <c r="X489" s="82"/>
      <c r="Y489" s="82"/>
      <c r="Z489" s="82"/>
      <c r="AA489" s="82"/>
      <c r="AB489" s="145"/>
      <c r="AC489" s="145"/>
      <c r="AD489" s="145"/>
      <c r="AE489" s="145"/>
      <c r="AF489" s="145"/>
      <c r="AG489" s="145"/>
      <c r="AH489" s="145"/>
      <c r="AI489" s="145"/>
      <c r="AJ489" s="145"/>
      <c r="AK489" s="145"/>
      <c r="AL489" s="145"/>
      <c r="AM489" s="145"/>
      <c r="AN489" s="145"/>
      <c r="AO489" s="145"/>
      <c r="AP489" s="145"/>
      <c r="AQ489" s="145"/>
      <c r="AR489" s="145"/>
      <c r="AS489" s="145"/>
      <c r="AT489" s="145"/>
      <c r="AU489" s="145"/>
      <c r="AV489" s="146"/>
      <c r="AW489" s="146"/>
      <c r="AX489" s="146"/>
      <c r="AY489" s="146"/>
      <c r="AZ489" s="145"/>
      <c r="BA489" s="146"/>
      <c r="BB489" s="145"/>
      <c r="BC489" s="145"/>
      <c r="BD489" s="145"/>
      <c r="BE489" s="145"/>
      <c r="BF489" s="145"/>
      <c r="BG489" s="145"/>
      <c r="BH489" s="145"/>
      <c r="BI489" s="145"/>
      <c r="BJ489" s="145"/>
      <c r="BK489" s="145"/>
    </row>
    <row r="490" spans="1:63" s="147" customFormat="1" ht="15" x14ac:dyDescent="0.25">
      <c r="A490" s="47"/>
      <c r="B490" s="48"/>
      <c r="C490" s="102" t="s">
        <v>56</v>
      </c>
      <c r="D490" s="102"/>
      <c r="E490" s="102"/>
      <c r="F490" s="102"/>
      <c r="G490" s="102"/>
      <c r="H490" s="41"/>
      <c r="I490" s="42"/>
      <c r="J490" s="42"/>
      <c r="K490" s="42"/>
      <c r="L490" s="45"/>
      <c r="M490" s="42"/>
      <c r="N490" s="49"/>
      <c r="O490" s="42"/>
      <c r="P490" s="50">
        <v>147.51050000000001</v>
      </c>
      <c r="Q490" s="157"/>
      <c r="R490" s="157"/>
      <c r="S490" s="82"/>
      <c r="T490" s="82"/>
      <c r="U490" s="156"/>
      <c r="V490" s="82"/>
      <c r="W490" s="151"/>
      <c r="X490" s="82"/>
      <c r="Y490" s="82"/>
      <c r="Z490" s="82"/>
      <c r="AA490" s="82"/>
      <c r="AB490" s="145"/>
      <c r="AC490" s="145"/>
      <c r="AD490" s="145"/>
      <c r="AE490" s="145"/>
      <c r="AF490" s="145"/>
      <c r="AG490" s="145"/>
      <c r="AH490" s="145"/>
      <c r="AI490" s="145"/>
      <c r="AJ490" s="145"/>
      <c r="AK490" s="145"/>
      <c r="AL490" s="145"/>
      <c r="AM490" s="145"/>
      <c r="AN490" s="145"/>
      <c r="AO490" s="145"/>
      <c r="AP490" s="145"/>
      <c r="AQ490" s="145"/>
      <c r="AR490" s="145"/>
      <c r="AS490" s="145"/>
      <c r="AT490" s="145"/>
      <c r="AU490" s="145"/>
      <c r="AV490" s="146"/>
      <c r="AW490" s="146"/>
      <c r="AX490" s="146"/>
      <c r="AY490" s="146"/>
      <c r="AZ490" s="145"/>
      <c r="BA490" s="146"/>
      <c r="BB490" s="145"/>
      <c r="BC490" s="145"/>
      <c r="BD490" s="145"/>
      <c r="BE490" s="145"/>
      <c r="BF490" s="145"/>
      <c r="BG490" s="145"/>
      <c r="BH490" s="145"/>
      <c r="BI490" s="145"/>
      <c r="BJ490" s="145"/>
      <c r="BK490" s="145"/>
    </row>
    <row r="491" spans="1:63" s="147" customFormat="1" ht="15" x14ac:dyDescent="0.25">
      <c r="A491" s="52"/>
      <c r="B491" s="53"/>
      <c r="C491" s="104" t="s">
        <v>57</v>
      </c>
      <c r="D491" s="104"/>
      <c r="E491" s="104"/>
      <c r="F491" s="104"/>
      <c r="G491" s="104"/>
      <c r="H491" s="54"/>
      <c r="I491" s="55"/>
      <c r="J491" s="55"/>
      <c r="K491" s="55"/>
      <c r="L491" s="56"/>
      <c r="M491" s="55"/>
      <c r="N491" s="56"/>
      <c r="O491" s="55"/>
      <c r="P491" s="77">
        <v>147.51050000000001</v>
      </c>
      <c r="Q491" s="82"/>
      <c r="R491" s="82"/>
      <c r="S491" s="82"/>
      <c r="T491" s="82"/>
      <c r="U491" s="170"/>
      <c r="V491" s="82"/>
      <c r="W491" s="160"/>
      <c r="X491" s="82"/>
      <c r="Y491" s="82"/>
      <c r="Z491" s="82"/>
      <c r="AA491" s="82"/>
      <c r="AB491" s="145"/>
      <c r="AC491" s="145"/>
      <c r="AD491" s="145"/>
      <c r="AE491" s="145"/>
      <c r="AF491" s="145"/>
      <c r="AG491" s="145"/>
      <c r="AH491" s="145"/>
      <c r="AI491" s="145"/>
      <c r="AJ491" s="145"/>
      <c r="AK491" s="145"/>
      <c r="AL491" s="145"/>
      <c r="AM491" s="145"/>
      <c r="AN491" s="145"/>
      <c r="AO491" s="145"/>
      <c r="AP491" s="145"/>
      <c r="AQ491" s="145"/>
      <c r="AR491" s="145"/>
      <c r="AS491" s="145"/>
      <c r="AT491" s="145"/>
      <c r="AU491" s="145"/>
      <c r="AV491" s="146"/>
      <c r="AW491" s="146"/>
      <c r="AX491" s="146"/>
      <c r="AY491" s="146"/>
      <c r="AZ491" s="145"/>
      <c r="BA491" s="146"/>
      <c r="BB491" s="145"/>
      <c r="BC491" s="145"/>
      <c r="BD491" s="145"/>
      <c r="BE491" s="145"/>
      <c r="BF491" s="145"/>
      <c r="BG491" s="145"/>
      <c r="BH491" s="145"/>
      <c r="BI491" s="145"/>
      <c r="BJ491" s="145"/>
      <c r="BK491" s="145"/>
    </row>
    <row r="492" spans="1:63" s="147" customFormat="1" ht="15" x14ac:dyDescent="0.25">
      <c r="A492" s="52"/>
      <c r="B492" s="53" t="s">
        <v>215</v>
      </c>
      <c r="C492" s="104" t="s">
        <v>216</v>
      </c>
      <c r="D492" s="104"/>
      <c r="E492" s="104"/>
      <c r="F492" s="104"/>
      <c r="G492" s="104"/>
      <c r="H492" s="54" t="s">
        <v>60</v>
      </c>
      <c r="I492" s="58">
        <v>121</v>
      </c>
      <c r="J492" s="55"/>
      <c r="K492" s="58">
        <v>121</v>
      </c>
      <c r="L492" s="56"/>
      <c r="M492" s="55"/>
      <c r="N492" s="56"/>
      <c r="O492" s="55"/>
      <c r="P492" s="77">
        <v>178.4915</v>
      </c>
      <c r="Q492" s="82"/>
      <c r="R492" s="82"/>
      <c r="S492" s="82"/>
      <c r="T492" s="82"/>
      <c r="U492" s="170"/>
      <c r="V492" s="82"/>
      <c r="W492" s="164"/>
      <c r="X492" s="82"/>
      <c r="Y492" s="82"/>
      <c r="Z492" s="82"/>
      <c r="AA492" s="82"/>
      <c r="AB492" s="145"/>
      <c r="AC492" s="145"/>
      <c r="AD492" s="145"/>
      <c r="AE492" s="145"/>
      <c r="AF492" s="145"/>
      <c r="AG492" s="145"/>
      <c r="AH492" s="145"/>
      <c r="AI492" s="145"/>
      <c r="AJ492" s="145"/>
      <c r="AK492" s="145"/>
      <c r="AL492" s="145"/>
      <c r="AM492" s="145"/>
      <c r="AN492" s="145"/>
      <c r="AO492" s="145"/>
      <c r="AP492" s="145"/>
      <c r="AQ492" s="145"/>
      <c r="AR492" s="145"/>
      <c r="AS492" s="145"/>
      <c r="AT492" s="145"/>
      <c r="AU492" s="145"/>
      <c r="AV492" s="146"/>
      <c r="AW492" s="146"/>
      <c r="AX492" s="146"/>
      <c r="AY492" s="146"/>
      <c r="AZ492" s="145"/>
      <c r="BA492" s="146"/>
      <c r="BB492" s="145"/>
      <c r="BC492" s="145"/>
      <c r="BD492" s="145"/>
      <c r="BE492" s="145"/>
      <c r="BF492" s="145"/>
      <c r="BG492" s="145"/>
      <c r="BH492" s="145"/>
      <c r="BI492" s="145"/>
      <c r="BJ492" s="145"/>
      <c r="BK492" s="145"/>
    </row>
    <row r="493" spans="1:63" s="147" customFormat="1" ht="15" x14ac:dyDescent="0.25">
      <c r="A493" s="52"/>
      <c r="B493" s="53" t="s">
        <v>217</v>
      </c>
      <c r="C493" s="104" t="s">
        <v>218</v>
      </c>
      <c r="D493" s="104"/>
      <c r="E493" s="104"/>
      <c r="F493" s="104"/>
      <c r="G493" s="104"/>
      <c r="H493" s="54" t="s">
        <v>60</v>
      </c>
      <c r="I493" s="58">
        <v>72</v>
      </c>
      <c r="J493" s="55"/>
      <c r="K493" s="58">
        <v>72</v>
      </c>
      <c r="L493" s="56"/>
      <c r="M493" s="55"/>
      <c r="N493" s="56"/>
      <c r="O493" s="55"/>
      <c r="P493" s="77">
        <v>106.20249999999999</v>
      </c>
      <c r="Q493" s="82"/>
      <c r="R493" s="82"/>
      <c r="S493" s="82"/>
      <c r="T493" s="82"/>
      <c r="U493" s="170"/>
      <c r="V493" s="82"/>
      <c r="W493" s="164"/>
      <c r="X493" s="82"/>
      <c r="Y493" s="82"/>
      <c r="Z493" s="82"/>
      <c r="AA493" s="82"/>
      <c r="AB493" s="145"/>
      <c r="AC493" s="145"/>
      <c r="AD493" s="145"/>
      <c r="AE493" s="145"/>
      <c r="AF493" s="145"/>
      <c r="AG493" s="145"/>
      <c r="AH493" s="145"/>
      <c r="AI493" s="145"/>
      <c r="AJ493" s="145"/>
      <c r="AK493" s="145"/>
      <c r="AL493" s="145"/>
      <c r="AM493" s="145"/>
      <c r="AN493" s="145"/>
      <c r="AO493" s="145"/>
      <c r="AP493" s="145"/>
      <c r="AQ493" s="145"/>
      <c r="AR493" s="145"/>
      <c r="AS493" s="145"/>
      <c r="AT493" s="145"/>
      <c r="AU493" s="145"/>
      <c r="AV493" s="146"/>
      <c r="AW493" s="146"/>
      <c r="AX493" s="146"/>
      <c r="AY493" s="146"/>
      <c r="AZ493" s="145"/>
      <c r="BA493" s="146"/>
      <c r="BB493" s="145"/>
      <c r="BC493" s="145"/>
      <c r="BD493" s="145"/>
      <c r="BE493" s="145"/>
      <c r="BF493" s="145"/>
      <c r="BG493" s="145"/>
      <c r="BH493" s="145"/>
      <c r="BI493" s="145"/>
      <c r="BJ493" s="145"/>
      <c r="BK493" s="145"/>
    </row>
    <row r="494" spans="1:63" s="147" customFormat="1" ht="15" x14ac:dyDescent="0.25">
      <c r="A494" s="59"/>
      <c r="B494" s="98"/>
      <c r="C494" s="102" t="s">
        <v>63</v>
      </c>
      <c r="D494" s="102"/>
      <c r="E494" s="102"/>
      <c r="F494" s="102"/>
      <c r="G494" s="102"/>
      <c r="H494" s="41"/>
      <c r="I494" s="42"/>
      <c r="J494" s="42"/>
      <c r="K494" s="42"/>
      <c r="L494" s="45"/>
      <c r="M494" s="42"/>
      <c r="N494" s="49">
        <v>2684.5</v>
      </c>
      <c r="O494" s="42"/>
      <c r="P494" s="50">
        <v>432.20449999999994</v>
      </c>
      <c r="Q494" s="82"/>
      <c r="R494" s="82"/>
      <c r="S494" s="82"/>
      <c r="T494" s="82"/>
      <c r="U494" s="167"/>
      <c r="V494" s="82"/>
      <c r="W494" s="151"/>
      <c r="X494" s="82"/>
      <c r="Y494" s="82"/>
      <c r="Z494" s="82"/>
      <c r="AA494" s="82"/>
      <c r="AB494" s="145"/>
      <c r="AC494" s="145"/>
      <c r="AD494" s="145"/>
      <c r="AE494" s="145"/>
      <c r="AF494" s="145"/>
      <c r="AG494" s="145"/>
      <c r="AH494" s="145"/>
      <c r="AI494" s="145"/>
      <c r="AJ494" s="145"/>
      <c r="AK494" s="145"/>
      <c r="AL494" s="145"/>
      <c r="AM494" s="145"/>
      <c r="AN494" s="145"/>
      <c r="AO494" s="145"/>
      <c r="AP494" s="145"/>
      <c r="AQ494" s="145"/>
      <c r="AR494" s="145"/>
      <c r="AS494" s="145"/>
      <c r="AT494" s="145"/>
      <c r="AU494" s="145"/>
      <c r="AV494" s="146"/>
      <c r="AW494" s="146"/>
      <c r="AX494" s="146"/>
      <c r="AY494" s="146"/>
      <c r="AZ494" s="145"/>
      <c r="BA494" s="146"/>
      <c r="BB494" s="145"/>
      <c r="BC494" s="145"/>
      <c r="BD494" s="145"/>
      <c r="BE494" s="145"/>
      <c r="BF494" s="145"/>
      <c r="BG494" s="145"/>
      <c r="BH494" s="145"/>
      <c r="BI494" s="145"/>
      <c r="BJ494" s="145"/>
      <c r="BK494" s="145"/>
    </row>
    <row r="495" spans="1:63" s="147" customFormat="1" ht="15" x14ac:dyDescent="0.25">
      <c r="A495" s="39" t="s">
        <v>631</v>
      </c>
      <c r="B495" s="97" t="s">
        <v>265</v>
      </c>
      <c r="C495" s="103" t="s">
        <v>266</v>
      </c>
      <c r="D495" s="103"/>
      <c r="E495" s="103"/>
      <c r="F495" s="103"/>
      <c r="G495" s="103"/>
      <c r="H495" s="41" t="s">
        <v>125</v>
      </c>
      <c r="I495" s="42">
        <v>0.05</v>
      </c>
      <c r="J495" s="43">
        <v>1</v>
      </c>
      <c r="K495" s="62">
        <v>0.05</v>
      </c>
      <c r="L495" s="45"/>
      <c r="M495" s="42"/>
      <c r="N495" s="45"/>
      <c r="O495" s="42"/>
      <c r="P495" s="50"/>
      <c r="Q495" s="82"/>
      <c r="R495" s="82"/>
      <c r="S495" s="82"/>
      <c r="T495" s="82"/>
      <c r="U495" s="153"/>
      <c r="V495" s="82"/>
      <c r="W495" s="168"/>
      <c r="X495" s="82"/>
      <c r="Y495" s="82"/>
      <c r="Z495" s="82"/>
      <c r="AA495" s="82"/>
      <c r="AB495" s="145"/>
      <c r="AC495" s="145"/>
      <c r="AD495" s="145"/>
      <c r="AE495" s="145"/>
      <c r="AF495" s="145"/>
      <c r="AG495" s="145"/>
      <c r="AH495" s="145"/>
      <c r="AI495" s="145"/>
      <c r="AJ495" s="145"/>
      <c r="AK495" s="145"/>
      <c r="AL495" s="145"/>
      <c r="AM495" s="145"/>
      <c r="AN495" s="145"/>
      <c r="AO495" s="145"/>
      <c r="AP495" s="145"/>
      <c r="AQ495" s="145"/>
      <c r="AR495" s="145"/>
      <c r="AS495" s="145"/>
      <c r="AT495" s="145"/>
      <c r="AU495" s="145"/>
      <c r="AV495" s="146"/>
      <c r="AW495" s="146"/>
      <c r="AX495" s="146"/>
      <c r="AY495" s="146"/>
      <c r="AZ495" s="145"/>
      <c r="BA495" s="146"/>
      <c r="BB495" s="145"/>
      <c r="BC495" s="145"/>
      <c r="BD495" s="145"/>
      <c r="BE495" s="145"/>
      <c r="BF495" s="145"/>
      <c r="BG495" s="145"/>
      <c r="BH495" s="145"/>
      <c r="BI495" s="145"/>
      <c r="BJ495" s="145"/>
      <c r="BK495" s="145"/>
    </row>
    <row r="496" spans="1:63" s="147" customFormat="1" ht="15" x14ac:dyDescent="0.25">
      <c r="A496" s="47"/>
      <c r="B496" s="48"/>
      <c r="C496" s="102" t="s">
        <v>56</v>
      </c>
      <c r="D496" s="102"/>
      <c r="E496" s="102"/>
      <c r="F496" s="102"/>
      <c r="G496" s="102"/>
      <c r="H496" s="41"/>
      <c r="I496" s="42"/>
      <c r="J496" s="42"/>
      <c r="K496" s="42"/>
      <c r="L496" s="45"/>
      <c r="M496" s="42"/>
      <c r="N496" s="49"/>
      <c r="O496" s="42"/>
      <c r="P496" s="50">
        <v>345.01149999999996</v>
      </c>
      <c r="Q496" s="157"/>
      <c r="R496" s="157"/>
      <c r="S496" s="82"/>
      <c r="T496" s="82"/>
      <c r="U496" s="156"/>
      <c r="V496" s="82"/>
      <c r="W496" s="151"/>
      <c r="X496" s="82"/>
      <c r="Y496" s="82"/>
      <c r="Z496" s="82"/>
      <c r="AA496" s="82"/>
      <c r="AB496" s="145"/>
      <c r="AC496" s="145"/>
      <c r="AD496" s="145"/>
      <c r="AE496" s="145"/>
      <c r="AF496" s="145"/>
      <c r="AG496" s="145"/>
      <c r="AH496" s="145"/>
      <c r="AI496" s="145"/>
      <c r="AJ496" s="145"/>
      <c r="AK496" s="145"/>
      <c r="AL496" s="145"/>
      <c r="AM496" s="145"/>
      <c r="AN496" s="145"/>
      <c r="AO496" s="145"/>
      <c r="AP496" s="145"/>
      <c r="AQ496" s="145"/>
      <c r="AR496" s="145"/>
      <c r="AS496" s="145"/>
      <c r="AT496" s="145"/>
      <c r="AU496" s="145"/>
      <c r="AV496" s="146"/>
      <c r="AW496" s="146"/>
      <c r="AX496" s="146"/>
      <c r="AY496" s="146"/>
      <c r="AZ496" s="145"/>
      <c r="BA496" s="146"/>
      <c r="BB496" s="145"/>
      <c r="BC496" s="145"/>
      <c r="BD496" s="145"/>
      <c r="BE496" s="145"/>
      <c r="BF496" s="145"/>
      <c r="BG496" s="145"/>
      <c r="BH496" s="145"/>
      <c r="BI496" s="145"/>
      <c r="BJ496" s="145"/>
      <c r="BK496" s="145"/>
    </row>
    <row r="497" spans="1:63" s="147" customFormat="1" ht="15" x14ac:dyDescent="0.25">
      <c r="A497" s="52"/>
      <c r="B497" s="53"/>
      <c r="C497" s="104" t="s">
        <v>57</v>
      </c>
      <c r="D497" s="104"/>
      <c r="E497" s="104"/>
      <c r="F497" s="104"/>
      <c r="G497" s="104"/>
      <c r="H497" s="54"/>
      <c r="I497" s="55"/>
      <c r="J497" s="55"/>
      <c r="K497" s="55"/>
      <c r="L497" s="56"/>
      <c r="M497" s="55"/>
      <c r="N497" s="56"/>
      <c r="O497" s="55"/>
      <c r="P497" s="77">
        <v>307.6825</v>
      </c>
      <c r="Q497" s="82"/>
      <c r="R497" s="82"/>
      <c r="S497" s="82"/>
      <c r="T497" s="82"/>
      <c r="U497" s="170"/>
      <c r="V497" s="82"/>
      <c r="W497" s="160"/>
      <c r="X497" s="82"/>
      <c r="Y497" s="82"/>
      <c r="Z497" s="82"/>
      <c r="AA497" s="82"/>
      <c r="AB497" s="145"/>
      <c r="AC497" s="145"/>
      <c r="AD497" s="145"/>
      <c r="AE497" s="145"/>
      <c r="AF497" s="145"/>
      <c r="AG497" s="145"/>
      <c r="AH497" s="145"/>
      <c r="AI497" s="145"/>
      <c r="AJ497" s="145"/>
      <c r="AK497" s="145"/>
      <c r="AL497" s="145"/>
      <c r="AM497" s="145"/>
      <c r="AN497" s="145"/>
      <c r="AO497" s="145"/>
      <c r="AP497" s="145"/>
      <c r="AQ497" s="145"/>
      <c r="AR497" s="145"/>
      <c r="AS497" s="145"/>
      <c r="AT497" s="145"/>
      <c r="AU497" s="145"/>
      <c r="AV497" s="146"/>
      <c r="AW497" s="146"/>
      <c r="AX497" s="146"/>
      <c r="AY497" s="146"/>
      <c r="AZ497" s="145"/>
      <c r="BA497" s="146"/>
      <c r="BB497" s="145"/>
      <c r="BC497" s="145"/>
      <c r="BD497" s="145"/>
      <c r="BE497" s="145"/>
      <c r="BF497" s="145"/>
      <c r="BG497" s="145"/>
      <c r="BH497" s="145"/>
      <c r="BI497" s="145"/>
      <c r="BJ497" s="145"/>
      <c r="BK497" s="145"/>
    </row>
    <row r="498" spans="1:63" s="147" customFormat="1" ht="15" x14ac:dyDescent="0.25">
      <c r="A498" s="52"/>
      <c r="B498" s="53" t="s">
        <v>215</v>
      </c>
      <c r="C498" s="104" t="s">
        <v>216</v>
      </c>
      <c r="D498" s="104"/>
      <c r="E498" s="104"/>
      <c r="F498" s="104"/>
      <c r="G498" s="104"/>
      <c r="H498" s="54" t="s">
        <v>60</v>
      </c>
      <c r="I498" s="58">
        <v>121</v>
      </c>
      <c r="J498" s="55"/>
      <c r="K498" s="58">
        <v>121</v>
      </c>
      <c r="L498" s="56"/>
      <c r="M498" s="55"/>
      <c r="N498" s="56"/>
      <c r="O498" s="55"/>
      <c r="P498" s="77">
        <v>372.30099999999999</v>
      </c>
      <c r="Q498" s="82"/>
      <c r="R498" s="82"/>
      <c r="S498" s="82"/>
      <c r="T498" s="82"/>
      <c r="U498" s="170"/>
      <c r="V498" s="82"/>
      <c r="W498" s="164"/>
      <c r="X498" s="82"/>
      <c r="Y498" s="82"/>
      <c r="Z498" s="82"/>
      <c r="AA498" s="82"/>
      <c r="AB498" s="145"/>
      <c r="AC498" s="145"/>
      <c r="AD498" s="145"/>
      <c r="AE498" s="145"/>
      <c r="AF498" s="145"/>
      <c r="AG498" s="145"/>
      <c r="AH498" s="145"/>
      <c r="AI498" s="145"/>
      <c r="AJ498" s="145"/>
      <c r="AK498" s="145"/>
      <c r="AL498" s="145"/>
      <c r="AM498" s="145"/>
      <c r="AN498" s="145"/>
      <c r="AO498" s="145"/>
      <c r="AP498" s="145"/>
      <c r="AQ498" s="145"/>
      <c r="AR498" s="145"/>
      <c r="AS498" s="145"/>
      <c r="AT498" s="145"/>
      <c r="AU498" s="145"/>
      <c r="AV498" s="146"/>
      <c r="AW498" s="146"/>
      <c r="AX498" s="146"/>
      <c r="AY498" s="146"/>
      <c r="AZ498" s="145"/>
      <c r="BA498" s="146"/>
      <c r="BB498" s="145"/>
      <c r="BC498" s="145"/>
      <c r="BD498" s="145"/>
      <c r="BE498" s="145"/>
      <c r="BF498" s="145"/>
      <c r="BG498" s="145"/>
      <c r="BH498" s="145"/>
      <c r="BI498" s="145"/>
      <c r="BJ498" s="145"/>
      <c r="BK498" s="145"/>
    </row>
    <row r="499" spans="1:63" s="147" customFormat="1" ht="15" x14ac:dyDescent="0.25">
      <c r="A499" s="52"/>
      <c r="B499" s="53" t="s">
        <v>217</v>
      </c>
      <c r="C499" s="104" t="s">
        <v>218</v>
      </c>
      <c r="D499" s="104"/>
      <c r="E499" s="104"/>
      <c r="F499" s="104"/>
      <c r="G499" s="104"/>
      <c r="H499" s="54" t="s">
        <v>60</v>
      </c>
      <c r="I499" s="58">
        <v>72</v>
      </c>
      <c r="J499" s="55"/>
      <c r="K499" s="58">
        <v>72</v>
      </c>
      <c r="L499" s="56"/>
      <c r="M499" s="55"/>
      <c r="N499" s="56"/>
      <c r="O499" s="55"/>
      <c r="P499" s="77">
        <v>221.53599999999997</v>
      </c>
      <c r="Q499" s="82"/>
      <c r="R499" s="82"/>
      <c r="S499" s="82"/>
      <c r="T499" s="82"/>
      <c r="U499" s="170"/>
      <c r="V499" s="82"/>
      <c r="W499" s="164"/>
      <c r="X499" s="82"/>
      <c r="Y499" s="82"/>
      <c r="Z499" s="82"/>
      <c r="AA499" s="82"/>
      <c r="AB499" s="145"/>
      <c r="AC499" s="145"/>
      <c r="AD499" s="145"/>
      <c r="AE499" s="145"/>
      <c r="AF499" s="145"/>
      <c r="AG499" s="145"/>
      <c r="AH499" s="145"/>
      <c r="AI499" s="145"/>
      <c r="AJ499" s="145"/>
      <c r="AK499" s="145"/>
      <c r="AL499" s="145"/>
      <c r="AM499" s="145"/>
      <c r="AN499" s="145"/>
      <c r="AO499" s="145"/>
      <c r="AP499" s="145"/>
      <c r="AQ499" s="145"/>
      <c r="AR499" s="145"/>
      <c r="AS499" s="145"/>
      <c r="AT499" s="145"/>
      <c r="AU499" s="145"/>
      <c r="AV499" s="146"/>
      <c r="AW499" s="146"/>
      <c r="AX499" s="146"/>
      <c r="AY499" s="146"/>
      <c r="AZ499" s="145"/>
      <c r="BA499" s="146"/>
      <c r="BB499" s="145"/>
      <c r="BC499" s="145"/>
      <c r="BD499" s="145"/>
      <c r="BE499" s="145"/>
      <c r="BF499" s="145"/>
      <c r="BG499" s="145"/>
      <c r="BH499" s="145"/>
      <c r="BI499" s="145"/>
      <c r="BJ499" s="145"/>
      <c r="BK499" s="145"/>
    </row>
    <row r="500" spans="1:63" s="147" customFormat="1" ht="15" x14ac:dyDescent="0.25">
      <c r="A500" s="59"/>
      <c r="B500" s="98"/>
      <c r="C500" s="102" t="s">
        <v>63</v>
      </c>
      <c r="D500" s="102"/>
      <c r="E500" s="102"/>
      <c r="F500" s="102"/>
      <c r="G500" s="102"/>
      <c r="H500" s="41"/>
      <c r="I500" s="42"/>
      <c r="J500" s="42"/>
      <c r="K500" s="42"/>
      <c r="L500" s="45"/>
      <c r="M500" s="42"/>
      <c r="N500" s="49">
        <v>16327.8</v>
      </c>
      <c r="O500" s="42"/>
      <c r="P500" s="50">
        <v>938.84849999999994</v>
      </c>
      <c r="Q500" s="82"/>
      <c r="R500" s="82"/>
      <c r="S500" s="82"/>
      <c r="T500" s="82"/>
      <c r="U500" s="167"/>
      <c r="V500" s="82"/>
      <c r="W500" s="151"/>
      <c r="X500" s="82"/>
      <c r="Y500" s="82"/>
      <c r="Z500" s="82"/>
      <c r="AA500" s="82"/>
      <c r="AB500" s="145"/>
      <c r="AC500" s="145"/>
      <c r="AD500" s="145"/>
      <c r="AE500" s="145"/>
      <c r="AF500" s="145"/>
      <c r="AG500" s="145"/>
      <c r="AH500" s="145"/>
      <c r="AI500" s="145"/>
      <c r="AJ500" s="145"/>
      <c r="AK500" s="145"/>
      <c r="AL500" s="145"/>
      <c r="AM500" s="145"/>
      <c r="AN500" s="145"/>
      <c r="AO500" s="145"/>
      <c r="AP500" s="145"/>
      <c r="AQ500" s="145"/>
      <c r="AR500" s="145"/>
      <c r="AS500" s="145"/>
      <c r="AT500" s="145"/>
      <c r="AU500" s="145"/>
      <c r="AV500" s="146"/>
      <c r="AW500" s="146"/>
      <c r="AX500" s="146"/>
      <c r="AY500" s="146"/>
      <c r="AZ500" s="145"/>
      <c r="BA500" s="146"/>
      <c r="BB500" s="145"/>
      <c r="BC500" s="145"/>
      <c r="BD500" s="145"/>
      <c r="BE500" s="145"/>
      <c r="BF500" s="145"/>
      <c r="BG500" s="145"/>
      <c r="BH500" s="145"/>
      <c r="BI500" s="145"/>
      <c r="BJ500" s="145"/>
      <c r="BK500" s="145"/>
    </row>
    <row r="501" spans="1:63" s="147" customFormat="1" ht="15" x14ac:dyDescent="0.25">
      <c r="A501" s="39" t="s">
        <v>632</v>
      </c>
      <c r="B501" s="97" t="s">
        <v>268</v>
      </c>
      <c r="C501" s="103" t="s">
        <v>269</v>
      </c>
      <c r="D501" s="103"/>
      <c r="E501" s="103"/>
      <c r="F501" s="103"/>
      <c r="G501" s="103"/>
      <c r="H501" s="41" t="s">
        <v>244</v>
      </c>
      <c r="I501" s="42">
        <v>5.125</v>
      </c>
      <c r="J501" s="43">
        <v>1</v>
      </c>
      <c r="K501" s="66">
        <v>5.125</v>
      </c>
      <c r="L501" s="61">
        <v>45.1</v>
      </c>
      <c r="M501" s="62">
        <v>1.01</v>
      </c>
      <c r="N501" s="61">
        <v>45.55</v>
      </c>
      <c r="O501" s="42"/>
      <c r="P501" s="50">
        <v>268.45599999999996</v>
      </c>
      <c r="Q501" s="82"/>
      <c r="R501" s="82"/>
      <c r="S501" s="82"/>
      <c r="T501" s="82"/>
      <c r="U501" s="167"/>
      <c r="V501" s="82"/>
      <c r="W501" s="171"/>
      <c r="X501" s="82"/>
      <c r="Y501" s="82"/>
      <c r="Z501" s="82"/>
      <c r="AA501" s="82"/>
      <c r="AB501" s="145"/>
      <c r="AC501" s="145"/>
      <c r="AD501" s="145"/>
      <c r="AE501" s="145"/>
      <c r="AF501" s="145"/>
      <c r="AG501" s="145"/>
      <c r="AH501" s="145"/>
      <c r="AI501" s="145"/>
      <c r="AJ501" s="145"/>
      <c r="AK501" s="145"/>
      <c r="AL501" s="145"/>
      <c r="AM501" s="145"/>
      <c r="AN501" s="145"/>
      <c r="AO501" s="145"/>
      <c r="AP501" s="145"/>
      <c r="AQ501" s="145"/>
      <c r="AR501" s="145"/>
      <c r="AS501" s="145"/>
      <c r="AT501" s="145"/>
      <c r="AU501" s="145"/>
      <c r="AV501" s="146"/>
      <c r="AW501" s="146"/>
      <c r="AX501" s="146"/>
      <c r="AY501" s="146"/>
      <c r="AZ501" s="145"/>
      <c r="BA501" s="146"/>
      <c r="BB501" s="145"/>
      <c r="BC501" s="145"/>
      <c r="BD501" s="145"/>
      <c r="BE501" s="145"/>
      <c r="BF501" s="145"/>
      <c r="BG501" s="145"/>
      <c r="BH501" s="145"/>
      <c r="BI501" s="145"/>
      <c r="BJ501" s="145"/>
      <c r="BK501" s="145"/>
    </row>
    <row r="502" spans="1:63" s="147" customFormat="1" ht="15" x14ac:dyDescent="0.25">
      <c r="A502" s="59"/>
      <c r="B502" s="98"/>
      <c r="C502" s="102" t="s">
        <v>63</v>
      </c>
      <c r="D502" s="102"/>
      <c r="E502" s="102"/>
      <c r="F502" s="102"/>
      <c r="G502" s="102"/>
      <c r="H502" s="41"/>
      <c r="I502" s="42"/>
      <c r="J502" s="42"/>
      <c r="K502" s="42"/>
      <c r="L502" s="45"/>
      <c r="M502" s="42"/>
      <c r="N502" s="45"/>
      <c r="O502" s="42"/>
      <c r="P502" s="50">
        <v>268.45599999999996</v>
      </c>
      <c r="Q502" s="82"/>
      <c r="R502" s="82"/>
      <c r="S502" s="82"/>
      <c r="T502" s="82"/>
      <c r="U502" s="167"/>
      <c r="V502" s="82"/>
      <c r="W502" s="151"/>
      <c r="X502" s="82"/>
      <c r="Y502" s="82"/>
      <c r="Z502" s="82"/>
      <c r="AA502" s="82"/>
      <c r="AB502" s="145"/>
      <c r="AC502" s="145"/>
      <c r="AD502" s="145"/>
      <c r="AE502" s="145"/>
      <c r="AF502" s="145"/>
      <c r="AG502" s="145"/>
      <c r="AH502" s="145"/>
      <c r="AI502" s="145"/>
      <c r="AJ502" s="145"/>
      <c r="AK502" s="145"/>
      <c r="AL502" s="145"/>
      <c r="AM502" s="145"/>
      <c r="AN502" s="145"/>
      <c r="AO502" s="145"/>
      <c r="AP502" s="145"/>
      <c r="AQ502" s="145"/>
      <c r="AR502" s="145"/>
      <c r="AS502" s="145"/>
      <c r="AT502" s="145"/>
      <c r="AU502" s="145"/>
      <c r="AV502" s="146"/>
      <c r="AW502" s="146"/>
      <c r="AX502" s="146"/>
      <c r="AY502" s="146"/>
      <c r="AZ502" s="145"/>
      <c r="BA502" s="146"/>
      <c r="BB502" s="145"/>
      <c r="BC502" s="145"/>
      <c r="BD502" s="145"/>
      <c r="BE502" s="145"/>
      <c r="BF502" s="145"/>
      <c r="BG502" s="145"/>
      <c r="BH502" s="145"/>
      <c r="BI502" s="145"/>
      <c r="BJ502" s="145"/>
      <c r="BK502" s="145"/>
    </row>
    <row r="503" spans="1:63" s="147" customFormat="1" ht="15" x14ac:dyDescent="0.25">
      <c r="A503" s="39" t="s">
        <v>633</v>
      </c>
      <c r="B503" s="97" t="s">
        <v>271</v>
      </c>
      <c r="C503" s="103" t="s">
        <v>272</v>
      </c>
      <c r="D503" s="103"/>
      <c r="E503" s="103"/>
      <c r="F503" s="103"/>
      <c r="G503" s="103"/>
      <c r="H503" s="41" t="s">
        <v>83</v>
      </c>
      <c r="I503" s="42">
        <v>1</v>
      </c>
      <c r="J503" s="43">
        <v>1</v>
      </c>
      <c r="K503" s="43">
        <v>1</v>
      </c>
      <c r="L503" s="61">
        <v>8.2899999999999991</v>
      </c>
      <c r="M503" s="62">
        <v>1.01</v>
      </c>
      <c r="N503" s="61">
        <v>8.3699999999999992</v>
      </c>
      <c r="O503" s="42"/>
      <c r="P503" s="50">
        <v>9.6254999999999988</v>
      </c>
      <c r="Q503" s="82"/>
      <c r="R503" s="82"/>
      <c r="S503" s="82"/>
      <c r="T503" s="82"/>
      <c r="U503" s="167"/>
      <c r="V503" s="82"/>
      <c r="W503" s="152"/>
      <c r="X503" s="82"/>
      <c r="Y503" s="82"/>
      <c r="Z503" s="82"/>
      <c r="AA503" s="82"/>
      <c r="AB503" s="145"/>
      <c r="AC503" s="145"/>
      <c r="AD503" s="145"/>
      <c r="AE503" s="145"/>
      <c r="AF503" s="145"/>
      <c r="AG503" s="145"/>
      <c r="AH503" s="145"/>
      <c r="AI503" s="145"/>
      <c r="AJ503" s="145"/>
      <c r="AK503" s="145"/>
      <c r="AL503" s="145"/>
      <c r="AM503" s="145"/>
      <c r="AN503" s="145"/>
      <c r="AO503" s="145"/>
      <c r="AP503" s="145"/>
      <c r="AQ503" s="145"/>
      <c r="AR503" s="145"/>
      <c r="AS503" s="145"/>
      <c r="AT503" s="145"/>
      <c r="AU503" s="145"/>
      <c r="AV503" s="146"/>
      <c r="AW503" s="146"/>
      <c r="AX503" s="146"/>
      <c r="AY503" s="146"/>
      <c r="AZ503" s="145"/>
      <c r="BA503" s="146"/>
      <c r="BB503" s="145"/>
      <c r="BC503" s="145"/>
      <c r="BD503" s="145"/>
      <c r="BE503" s="145"/>
      <c r="BF503" s="145"/>
      <c r="BG503" s="145"/>
      <c r="BH503" s="145"/>
      <c r="BI503" s="145"/>
      <c r="BJ503" s="145"/>
      <c r="BK503" s="145"/>
    </row>
    <row r="504" spans="1:63" s="147" customFormat="1" ht="15" x14ac:dyDescent="0.25">
      <c r="A504" s="59"/>
      <c r="B504" s="98"/>
      <c r="C504" s="102" t="s">
        <v>63</v>
      </c>
      <c r="D504" s="102"/>
      <c r="E504" s="102"/>
      <c r="F504" s="102"/>
      <c r="G504" s="102"/>
      <c r="H504" s="41"/>
      <c r="I504" s="42"/>
      <c r="J504" s="42"/>
      <c r="K504" s="42"/>
      <c r="L504" s="45"/>
      <c r="M504" s="42"/>
      <c r="N504" s="45"/>
      <c r="O504" s="42"/>
      <c r="P504" s="50">
        <v>9.6254999999999988</v>
      </c>
      <c r="Q504" s="82"/>
      <c r="R504" s="82"/>
      <c r="S504" s="82"/>
      <c r="T504" s="82"/>
      <c r="U504" s="167"/>
      <c r="V504" s="82"/>
      <c r="W504" s="151"/>
      <c r="X504" s="82"/>
      <c r="Y504" s="82"/>
      <c r="Z504" s="82"/>
      <c r="AA504" s="82"/>
      <c r="AB504" s="145"/>
      <c r="AC504" s="145"/>
      <c r="AD504" s="145"/>
      <c r="AE504" s="145"/>
      <c r="AF504" s="145"/>
      <c r="AG504" s="145"/>
      <c r="AH504" s="145"/>
      <c r="AI504" s="145"/>
      <c r="AJ504" s="145"/>
      <c r="AK504" s="145"/>
      <c r="AL504" s="145"/>
      <c r="AM504" s="145"/>
      <c r="AN504" s="145"/>
      <c r="AO504" s="145"/>
      <c r="AP504" s="145"/>
      <c r="AQ504" s="145"/>
      <c r="AR504" s="145"/>
      <c r="AS504" s="145"/>
      <c r="AT504" s="145"/>
      <c r="AU504" s="145"/>
      <c r="AV504" s="146"/>
      <c r="AW504" s="146"/>
      <c r="AX504" s="146"/>
      <c r="AY504" s="146"/>
      <c r="AZ504" s="145"/>
      <c r="BA504" s="146"/>
      <c r="BB504" s="145"/>
      <c r="BC504" s="145"/>
      <c r="BD504" s="145"/>
      <c r="BE504" s="145"/>
      <c r="BF504" s="145"/>
      <c r="BG504" s="145"/>
      <c r="BH504" s="145"/>
      <c r="BI504" s="145"/>
      <c r="BJ504" s="145"/>
      <c r="BK504" s="145"/>
    </row>
    <row r="505" spans="1:63" s="147" customFormat="1" ht="15" x14ac:dyDescent="0.25">
      <c r="A505" s="39" t="s">
        <v>634</v>
      </c>
      <c r="B505" s="97" t="s">
        <v>274</v>
      </c>
      <c r="C505" s="103" t="s">
        <v>275</v>
      </c>
      <c r="D505" s="103"/>
      <c r="E505" s="103"/>
      <c r="F505" s="103"/>
      <c r="G505" s="103"/>
      <c r="H505" s="41" t="s">
        <v>83</v>
      </c>
      <c r="I505" s="42">
        <v>2</v>
      </c>
      <c r="J505" s="43">
        <v>1</v>
      </c>
      <c r="K505" s="43">
        <v>2</v>
      </c>
      <c r="L505" s="61">
        <v>6.28</v>
      </c>
      <c r="M505" s="62">
        <v>1.01</v>
      </c>
      <c r="N505" s="61">
        <v>6.34</v>
      </c>
      <c r="O505" s="42"/>
      <c r="P505" s="50">
        <v>14.581999999999999</v>
      </c>
      <c r="Q505" s="82"/>
      <c r="R505" s="82"/>
      <c r="S505" s="82"/>
      <c r="T505" s="82"/>
      <c r="U505" s="167"/>
      <c r="V505" s="82"/>
      <c r="W505" s="152"/>
      <c r="X505" s="82"/>
      <c r="Y505" s="82"/>
      <c r="Z505" s="82"/>
      <c r="AA505" s="82"/>
      <c r="AB505" s="145"/>
      <c r="AC505" s="145"/>
      <c r="AD505" s="145"/>
      <c r="AE505" s="145"/>
      <c r="AF505" s="145"/>
      <c r="AG505" s="145"/>
      <c r="AH505" s="145"/>
      <c r="AI505" s="145"/>
      <c r="AJ505" s="145"/>
      <c r="AK505" s="145"/>
      <c r="AL505" s="145"/>
      <c r="AM505" s="145"/>
      <c r="AN505" s="145"/>
      <c r="AO505" s="145"/>
      <c r="AP505" s="145"/>
      <c r="AQ505" s="145"/>
      <c r="AR505" s="145"/>
      <c r="AS505" s="145"/>
      <c r="AT505" s="145"/>
      <c r="AU505" s="145"/>
      <c r="AV505" s="146"/>
      <c r="AW505" s="146"/>
      <c r="AX505" s="146"/>
      <c r="AY505" s="146"/>
      <c r="AZ505" s="145"/>
      <c r="BA505" s="146"/>
      <c r="BB505" s="145"/>
      <c r="BC505" s="145"/>
      <c r="BD505" s="145"/>
      <c r="BE505" s="145"/>
      <c r="BF505" s="145"/>
      <c r="BG505" s="145"/>
      <c r="BH505" s="145"/>
      <c r="BI505" s="145"/>
      <c r="BJ505" s="145"/>
      <c r="BK505" s="145"/>
    </row>
    <row r="506" spans="1:63" s="147" customFormat="1" ht="15" x14ac:dyDescent="0.25">
      <c r="A506" s="59"/>
      <c r="B506" s="98"/>
      <c r="C506" s="102" t="s">
        <v>63</v>
      </c>
      <c r="D506" s="102"/>
      <c r="E506" s="102"/>
      <c r="F506" s="102"/>
      <c r="G506" s="102"/>
      <c r="H506" s="41"/>
      <c r="I506" s="42"/>
      <c r="J506" s="42"/>
      <c r="K506" s="42"/>
      <c r="L506" s="45"/>
      <c r="M506" s="42"/>
      <c r="N506" s="45"/>
      <c r="O506" s="42"/>
      <c r="P506" s="50">
        <v>14.581999999999999</v>
      </c>
      <c r="Q506" s="82"/>
      <c r="R506" s="82"/>
      <c r="S506" s="82"/>
      <c r="T506" s="82"/>
      <c r="U506" s="167"/>
      <c r="V506" s="82"/>
      <c r="W506" s="151"/>
      <c r="X506" s="82"/>
      <c r="Y506" s="82"/>
      <c r="Z506" s="82"/>
      <c r="AA506" s="82"/>
      <c r="AB506" s="145"/>
      <c r="AC506" s="145"/>
      <c r="AD506" s="145"/>
      <c r="AE506" s="145"/>
      <c r="AF506" s="145"/>
      <c r="AG506" s="145"/>
      <c r="AH506" s="145"/>
      <c r="AI506" s="145"/>
      <c r="AJ506" s="145"/>
      <c r="AK506" s="145"/>
      <c r="AL506" s="145"/>
      <c r="AM506" s="145"/>
      <c r="AN506" s="145"/>
      <c r="AO506" s="145"/>
      <c r="AP506" s="145"/>
      <c r="AQ506" s="145"/>
      <c r="AR506" s="145"/>
      <c r="AS506" s="145"/>
      <c r="AT506" s="145"/>
      <c r="AU506" s="145"/>
      <c r="AV506" s="146"/>
      <c r="AW506" s="146"/>
      <c r="AX506" s="146"/>
      <c r="AY506" s="146"/>
      <c r="AZ506" s="145"/>
      <c r="BA506" s="146"/>
      <c r="BB506" s="145"/>
      <c r="BC506" s="145"/>
      <c r="BD506" s="145"/>
      <c r="BE506" s="145"/>
      <c r="BF506" s="145"/>
      <c r="BG506" s="145"/>
      <c r="BH506" s="145"/>
      <c r="BI506" s="145"/>
      <c r="BJ506" s="145"/>
      <c r="BK506" s="145"/>
    </row>
    <row r="507" spans="1:63" s="147" customFormat="1" ht="15" x14ac:dyDescent="0.25">
      <c r="A507" s="39" t="s">
        <v>635</v>
      </c>
      <c r="B507" s="97" t="s">
        <v>277</v>
      </c>
      <c r="C507" s="103" t="s">
        <v>278</v>
      </c>
      <c r="D507" s="103"/>
      <c r="E507" s="103"/>
      <c r="F507" s="103"/>
      <c r="G507" s="103"/>
      <c r="H507" s="41" t="s">
        <v>83</v>
      </c>
      <c r="I507" s="42">
        <v>6</v>
      </c>
      <c r="J507" s="43">
        <v>1</v>
      </c>
      <c r="K507" s="43">
        <v>6</v>
      </c>
      <c r="L507" s="61">
        <v>45.79</v>
      </c>
      <c r="M507" s="62">
        <v>1.01</v>
      </c>
      <c r="N507" s="61">
        <v>46.25</v>
      </c>
      <c r="O507" s="42"/>
      <c r="P507" s="50">
        <v>319.125</v>
      </c>
      <c r="Q507" s="82"/>
      <c r="R507" s="82"/>
      <c r="S507" s="82"/>
      <c r="T507" s="82"/>
      <c r="U507" s="167"/>
      <c r="V507" s="82"/>
      <c r="W507" s="152"/>
      <c r="X507" s="82"/>
      <c r="Y507" s="82"/>
      <c r="Z507" s="82"/>
      <c r="AA507" s="82"/>
      <c r="AB507" s="145"/>
      <c r="AC507" s="145"/>
      <c r="AD507" s="145"/>
      <c r="AE507" s="145"/>
      <c r="AF507" s="145"/>
      <c r="AG507" s="145"/>
      <c r="AH507" s="145"/>
      <c r="AI507" s="145"/>
      <c r="AJ507" s="145"/>
      <c r="AK507" s="145"/>
      <c r="AL507" s="145"/>
      <c r="AM507" s="145"/>
      <c r="AN507" s="145"/>
      <c r="AO507" s="145"/>
      <c r="AP507" s="145"/>
      <c r="AQ507" s="145"/>
      <c r="AR507" s="145"/>
      <c r="AS507" s="145"/>
      <c r="AT507" s="145"/>
      <c r="AU507" s="145"/>
      <c r="AV507" s="146"/>
      <c r="AW507" s="146"/>
      <c r="AX507" s="146"/>
      <c r="AY507" s="146"/>
      <c r="AZ507" s="145"/>
      <c r="BA507" s="146"/>
      <c r="BB507" s="145"/>
      <c r="BC507" s="145"/>
      <c r="BD507" s="145"/>
      <c r="BE507" s="145"/>
      <c r="BF507" s="145"/>
      <c r="BG507" s="145"/>
      <c r="BH507" s="145"/>
      <c r="BI507" s="145"/>
      <c r="BJ507" s="145"/>
      <c r="BK507" s="145"/>
    </row>
    <row r="508" spans="1:63" s="147" customFormat="1" ht="15" x14ac:dyDescent="0.25">
      <c r="A508" s="59"/>
      <c r="B508" s="98"/>
      <c r="C508" s="102" t="s">
        <v>63</v>
      </c>
      <c r="D508" s="102"/>
      <c r="E508" s="102"/>
      <c r="F508" s="102"/>
      <c r="G508" s="102"/>
      <c r="H508" s="41"/>
      <c r="I508" s="42"/>
      <c r="J508" s="42"/>
      <c r="K508" s="42"/>
      <c r="L508" s="45"/>
      <c r="M508" s="42"/>
      <c r="N508" s="45"/>
      <c r="O508" s="42"/>
      <c r="P508" s="50">
        <v>319.125</v>
      </c>
      <c r="Q508" s="82"/>
      <c r="R508" s="82"/>
      <c r="S508" s="82"/>
      <c r="T508" s="82"/>
      <c r="U508" s="167"/>
      <c r="V508" s="82"/>
      <c r="W508" s="151"/>
      <c r="X508" s="82"/>
      <c r="Y508" s="82"/>
      <c r="Z508" s="82"/>
      <c r="AA508" s="82"/>
      <c r="AB508" s="145"/>
      <c r="AC508" s="145"/>
      <c r="AD508" s="145"/>
      <c r="AE508" s="145"/>
      <c r="AF508" s="145"/>
      <c r="AG508" s="145"/>
      <c r="AH508" s="145"/>
      <c r="AI508" s="145"/>
      <c r="AJ508" s="145"/>
      <c r="AK508" s="145"/>
      <c r="AL508" s="145"/>
      <c r="AM508" s="145"/>
      <c r="AN508" s="145"/>
      <c r="AO508" s="145"/>
      <c r="AP508" s="145"/>
      <c r="AQ508" s="145"/>
      <c r="AR508" s="145"/>
      <c r="AS508" s="145"/>
      <c r="AT508" s="145"/>
      <c r="AU508" s="145"/>
      <c r="AV508" s="146"/>
      <c r="AW508" s="146"/>
      <c r="AX508" s="146"/>
      <c r="AY508" s="146"/>
      <c r="AZ508" s="145"/>
      <c r="BA508" s="146"/>
      <c r="BB508" s="145"/>
      <c r="BC508" s="145"/>
      <c r="BD508" s="145"/>
      <c r="BE508" s="145"/>
      <c r="BF508" s="145"/>
      <c r="BG508" s="145"/>
      <c r="BH508" s="145"/>
      <c r="BI508" s="145"/>
      <c r="BJ508" s="145"/>
      <c r="BK508" s="145"/>
    </row>
    <row r="509" spans="1:63" s="147" customFormat="1" ht="15" x14ac:dyDescent="0.25">
      <c r="A509" s="39" t="s">
        <v>636</v>
      </c>
      <c r="B509" s="97" t="s">
        <v>280</v>
      </c>
      <c r="C509" s="103" t="s">
        <v>281</v>
      </c>
      <c r="D509" s="103"/>
      <c r="E509" s="103"/>
      <c r="F509" s="103"/>
      <c r="G509" s="103"/>
      <c r="H509" s="41" t="s">
        <v>75</v>
      </c>
      <c r="I509" s="42">
        <v>0.03</v>
      </c>
      <c r="J509" s="43">
        <v>1</v>
      </c>
      <c r="K509" s="62">
        <v>0.03</v>
      </c>
      <c r="L509" s="45"/>
      <c r="M509" s="42"/>
      <c r="N509" s="45"/>
      <c r="O509" s="42"/>
      <c r="P509" s="50"/>
      <c r="Q509" s="82"/>
      <c r="R509" s="82"/>
      <c r="S509" s="82"/>
      <c r="T509" s="82"/>
      <c r="U509" s="153"/>
      <c r="V509" s="82"/>
      <c r="W509" s="168"/>
      <c r="X509" s="82"/>
      <c r="Y509" s="82"/>
      <c r="Z509" s="82"/>
      <c r="AA509" s="82"/>
      <c r="AB509" s="145"/>
      <c r="AC509" s="145"/>
      <c r="AD509" s="145"/>
      <c r="AE509" s="145"/>
      <c r="AF509" s="145"/>
      <c r="AG509" s="145"/>
      <c r="AH509" s="145"/>
      <c r="AI509" s="145"/>
      <c r="AJ509" s="145"/>
      <c r="AK509" s="145"/>
      <c r="AL509" s="145"/>
      <c r="AM509" s="145"/>
      <c r="AN509" s="145"/>
      <c r="AO509" s="145"/>
      <c r="AP509" s="145"/>
      <c r="AQ509" s="145"/>
      <c r="AR509" s="145"/>
      <c r="AS509" s="145"/>
      <c r="AT509" s="145"/>
      <c r="AU509" s="145"/>
      <c r="AV509" s="146"/>
      <c r="AW509" s="146"/>
      <c r="AX509" s="146"/>
      <c r="AY509" s="146"/>
      <c r="AZ509" s="145"/>
      <c r="BA509" s="146"/>
      <c r="BB509" s="145"/>
      <c r="BC509" s="145"/>
      <c r="BD509" s="145"/>
      <c r="BE509" s="145"/>
      <c r="BF509" s="145"/>
      <c r="BG509" s="145"/>
      <c r="BH509" s="145"/>
      <c r="BI509" s="145"/>
      <c r="BJ509" s="145"/>
      <c r="BK509" s="145"/>
    </row>
    <row r="510" spans="1:63" s="147" customFormat="1" ht="15" x14ac:dyDescent="0.25">
      <c r="A510" s="47"/>
      <c r="B510" s="48"/>
      <c r="C510" s="102" t="s">
        <v>56</v>
      </c>
      <c r="D510" s="102"/>
      <c r="E510" s="102"/>
      <c r="F510" s="102"/>
      <c r="G510" s="102"/>
      <c r="H510" s="41"/>
      <c r="I510" s="42"/>
      <c r="J510" s="42"/>
      <c r="K510" s="42"/>
      <c r="L510" s="45"/>
      <c r="M510" s="42"/>
      <c r="N510" s="49"/>
      <c r="O510" s="42"/>
      <c r="P510" s="50">
        <v>2405.2824999999998</v>
      </c>
      <c r="Q510" s="157"/>
      <c r="R510" s="157"/>
      <c r="S510" s="82"/>
      <c r="T510" s="82"/>
      <c r="U510" s="156"/>
      <c r="V510" s="82"/>
      <c r="W510" s="151"/>
      <c r="X510" s="82"/>
      <c r="Y510" s="82"/>
      <c r="Z510" s="82"/>
      <c r="AA510" s="82"/>
      <c r="AB510" s="145"/>
      <c r="AC510" s="145"/>
      <c r="AD510" s="145"/>
      <c r="AE510" s="145"/>
      <c r="AF510" s="145"/>
      <c r="AG510" s="145"/>
      <c r="AH510" s="145"/>
      <c r="AI510" s="145"/>
      <c r="AJ510" s="145"/>
      <c r="AK510" s="145"/>
      <c r="AL510" s="145"/>
      <c r="AM510" s="145"/>
      <c r="AN510" s="145"/>
      <c r="AO510" s="145"/>
      <c r="AP510" s="145"/>
      <c r="AQ510" s="145"/>
      <c r="AR510" s="145"/>
      <c r="AS510" s="145"/>
      <c r="AT510" s="145"/>
      <c r="AU510" s="145"/>
      <c r="AV510" s="146"/>
      <c r="AW510" s="146"/>
      <c r="AX510" s="146"/>
      <c r="AY510" s="146"/>
      <c r="AZ510" s="145"/>
      <c r="BA510" s="146"/>
      <c r="BB510" s="145"/>
      <c r="BC510" s="145"/>
      <c r="BD510" s="145"/>
      <c r="BE510" s="145"/>
      <c r="BF510" s="145"/>
      <c r="BG510" s="145"/>
      <c r="BH510" s="145"/>
      <c r="BI510" s="145"/>
      <c r="BJ510" s="145"/>
      <c r="BK510" s="145"/>
    </row>
    <row r="511" spans="1:63" s="147" customFormat="1" ht="15" x14ac:dyDescent="0.25">
      <c r="A511" s="52"/>
      <c r="B511" s="53"/>
      <c r="C511" s="104" t="s">
        <v>57</v>
      </c>
      <c r="D511" s="104"/>
      <c r="E511" s="104"/>
      <c r="F511" s="104"/>
      <c r="G511" s="104"/>
      <c r="H511" s="54"/>
      <c r="I511" s="55"/>
      <c r="J511" s="55"/>
      <c r="K511" s="55"/>
      <c r="L511" s="56"/>
      <c r="M511" s="55"/>
      <c r="N511" s="56"/>
      <c r="O511" s="55"/>
      <c r="P511" s="77">
        <v>1917.7860000000001</v>
      </c>
      <c r="Q511" s="82"/>
      <c r="R511" s="82"/>
      <c r="S511" s="82"/>
      <c r="T511" s="82"/>
      <c r="U511" s="163"/>
      <c r="V511" s="82"/>
      <c r="W511" s="160"/>
      <c r="X511" s="82"/>
      <c r="Y511" s="82"/>
      <c r="Z511" s="82"/>
      <c r="AA511" s="82"/>
      <c r="AB511" s="145"/>
      <c r="AC511" s="145"/>
      <c r="AD511" s="145"/>
      <c r="AE511" s="145"/>
      <c r="AF511" s="145"/>
      <c r="AG511" s="145"/>
      <c r="AH511" s="145"/>
      <c r="AI511" s="145"/>
      <c r="AJ511" s="145"/>
      <c r="AK511" s="145"/>
      <c r="AL511" s="145"/>
      <c r="AM511" s="145"/>
      <c r="AN511" s="145"/>
      <c r="AO511" s="145"/>
      <c r="AP511" s="145"/>
      <c r="AQ511" s="145"/>
      <c r="AR511" s="145"/>
      <c r="AS511" s="145"/>
      <c r="AT511" s="145"/>
      <c r="AU511" s="145"/>
      <c r="AV511" s="146"/>
      <c r="AW511" s="146"/>
      <c r="AX511" s="146"/>
      <c r="AY511" s="146"/>
      <c r="AZ511" s="145"/>
      <c r="BA511" s="146"/>
      <c r="BB511" s="145"/>
      <c r="BC511" s="145"/>
      <c r="BD511" s="145"/>
      <c r="BE511" s="145"/>
      <c r="BF511" s="145"/>
      <c r="BG511" s="145"/>
      <c r="BH511" s="145"/>
      <c r="BI511" s="145"/>
      <c r="BJ511" s="145"/>
      <c r="BK511" s="145"/>
    </row>
    <row r="512" spans="1:63" s="147" customFormat="1" ht="15" x14ac:dyDescent="0.25">
      <c r="A512" s="52"/>
      <c r="B512" s="53" t="s">
        <v>225</v>
      </c>
      <c r="C512" s="104" t="s">
        <v>226</v>
      </c>
      <c r="D512" s="104"/>
      <c r="E512" s="104"/>
      <c r="F512" s="104"/>
      <c r="G512" s="104"/>
      <c r="H512" s="54" t="s">
        <v>60</v>
      </c>
      <c r="I512" s="58">
        <v>103</v>
      </c>
      <c r="J512" s="55"/>
      <c r="K512" s="58">
        <v>103</v>
      </c>
      <c r="L512" s="56"/>
      <c r="M512" s="55"/>
      <c r="N512" s="56"/>
      <c r="O512" s="55"/>
      <c r="P512" s="77">
        <v>1975.3205</v>
      </c>
      <c r="Q512" s="82"/>
      <c r="R512" s="82"/>
      <c r="S512" s="82"/>
      <c r="T512" s="82"/>
      <c r="U512" s="163"/>
      <c r="V512" s="82"/>
      <c r="W512" s="164"/>
      <c r="X512" s="82"/>
      <c r="Y512" s="82"/>
      <c r="Z512" s="82"/>
      <c r="AA512" s="82"/>
      <c r="AB512" s="145"/>
      <c r="AC512" s="145"/>
      <c r="AD512" s="145"/>
      <c r="AE512" s="145"/>
      <c r="AF512" s="145"/>
      <c r="AG512" s="145"/>
      <c r="AH512" s="145"/>
      <c r="AI512" s="145"/>
      <c r="AJ512" s="145"/>
      <c r="AK512" s="145"/>
      <c r="AL512" s="145"/>
      <c r="AM512" s="145"/>
      <c r="AN512" s="145"/>
      <c r="AO512" s="145"/>
      <c r="AP512" s="145"/>
      <c r="AQ512" s="145"/>
      <c r="AR512" s="145"/>
      <c r="AS512" s="145"/>
      <c r="AT512" s="145"/>
      <c r="AU512" s="145"/>
      <c r="AV512" s="146"/>
      <c r="AW512" s="146"/>
      <c r="AX512" s="146"/>
      <c r="AY512" s="146"/>
      <c r="AZ512" s="145"/>
      <c r="BA512" s="146"/>
      <c r="BB512" s="145"/>
      <c r="BC512" s="145"/>
      <c r="BD512" s="145"/>
      <c r="BE512" s="145"/>
      <c r="BF512" s="145"/>
      <c r="BG512" s="145"/>
      <c r="BH512" s="145"/>
      <c r="BI512" s="145"/>
      <c r="BJ512" s="145"/>
      <c r="BK512" s="145"/>
    </row>
    <row r="513" spans="1:63" s="147" customFormat="1" ht="15" x14ac:dyDescent="0.25">
      <c r="A513" s="52"/>
      <c r="B513" s="53" t="s">
        <v>227</v>
      </c>
      <c r="C513" s="104" t="s">
        <v>228</v>
      </c>
      <c r="D513" s="104"/>
      <c r="E513" s="104"/>
      <c r="F513" s="104"/>
      <c r="G513" s="104"/>
      <c r="H513" s="54" t="s">
        <v>60</v>
      </c>
      <c r="I513" s="58">
        <v>52</v>
      </c>
      <c r="J513" s="55"/>
      <c r="K513" s="58">
        <v>52</v>
      </c>
      <c r="L513" s="56"/>
      <c r="M513" s="55"/>
      <c r="N513" s="56"/>
      <c r="O513" s="55"/>
      <c r="P513" s="77">
        <v>997.24549999999988</v>
      </c>
      <c r="Q513" s="82"/>
      <c r="R513" s="82"/>
      <c r="S513" s="82"/>
      <c r="T513" s="82"/>
      <c r="U513" s="170"/>
      <c r="V513" s="82"/>
      <c r="W513" s="164"/>
      <c r="X513" s="82"/>
      <c r="Y513" s="82"/>
      <c r="Z513" s="82"/>
      <c r="AA513" s="82"/>
      <c r="AB513" s="145"/>
      <c r="AC513" s="145"/>
      <c r="AD513" s="145"/>
      <c r="AE513" s="145"/>
      <c r="AF513" s="145"/>
      <c r="AG513" s="145"/>
      <c r="AH513" s="145"/>
      <c r="AI513" s="145"/>
      <c r="AJ513" s="145"/>
      <c r="AK513" s="145"/>
      <c r="AL513" s="145"/>
      <c r="AM513" s="145"/>
      <c r="AN513" s="145"/>
      <c r="AO513" s="145"/>
      <c r="AP513" s="145"/>
      <c r="AQ513" s="145"/>
      <c r="AR513" s="145"/>
      <c r="AS513" s="145"/>
      <c r="AT513" s="145"/>
      <c r="AU513" s="145"/>
      <c r="AV513" s="146"/>
      <c r="AW513" s="146"/>
      <c r="AX513" s="146"/>
      <c r="AY513" s="146"/>
      <c r="AZ513" s="145"/>
      <c r="BA513" s="146"/>
      <c r="BB513" s="145"/>
      <c r="BC513" s="145"/>
      <c r="BD513" s="145"/>
      <c r="BE513" s="145"/>
      <c r="BF513" s="145"/>
      <c r="BG513" s="145"/>
      <c r="BH513" s="145"/>
      <c r="BI513" s="145"/>
      <c r="BJ513" s="145"/>
      <c r="BK513" s="145"/>
    </row>
    <row r="514" spans="1:63" s="147" customFormat="1" ht="15" x14ac:dyDescent="0.25">
      <c r="A514" s="59"/>
      <c r="B514" s="98"/>
      <c r="C514" s="102" t="s">
        <v>63</v>
      </c>
      <c r="D514" s="102"/>
      <c r="E514" s="102"/>
      <c r="F514" s="102"/>
      <c r="G514" s="102"/>
      <c r="H514" s="41"/>
      <c r="I514" s="42"/>
      <c r="J514" s="42"/>
      <c r="K514" s="42"/>
      <c r="L514" s="45"/>
      <c r="M514" s="42"/>
      <c r="N514" s="49">
        <v>233819.5</v>
      </c>
      <c r="O514" s="42"/>
      <c r="P514" s="50">
        <v>8066.7727500000001</v>
      </c>
      <c r="Q514" s="82"/>
      <c r="R514" s="82"/>
      <c r="S514" s="82"/>
      <c r="T514" s="82"/>
      <c r="U514" s="156"/>
      <c r="V514" s="82"/>
      <c r="W514" s="151"/>
      <c r="X514" s="82"/>
      <c r="Y514" s="82"/>
      <c r="Z514" s="82"/>
      <c r="AA514" s="82"/>
      <c r="AB514" s="145"/>
      <c r="AC514" s="145"/>
      <c r="AD514" s="145"/>
      <c r="AE514" s="145"/>
      <c r="AF514" s="145"/>
      <c r="AG514" s="145"/>
      <c r="AH514" s="145"/>
      <c r="AI514" s="145"/>
      <c r="AJ514" s="145"/>
      <c r="AK514" s="145"/>
      <c r="AL514" s="145"/>
      <c r="AM514" s="145"/>
      <c r="AN514" s="145"/>
      <c r="AO514" s="145"/>
      <c r="AP514" s="145"/>
      <c r="AQ514" s="145"/>
      <c r="AR514" s="145"/>
      <c r="AS514" s="145"/>
      <c r="AT514" s="145"/>
      <c r="AU514" s="145"/>
      <c r="AV514" s="146"/>
      <c r="AW514" s="146"/>
      <c r="AX514" s="146"/>
      <c r="AY514" s="146"/>
      <c r="AZ514" s="145"/>
      <c r="BA514" s="146"/>
      <c r="BB514" s="145"/>
      <c r="BC514" s="145"/>
      <c r="BD514" s="145"/>
      <c r="BE514" s="145"/>
      <c r="BF514" s="145"/>
      <c r="BG514" s="145"/>
      <c r="BH514" s="145"/>
      <c r="BI514" s="145"/>
      <c r="BJ514" s="145"/>
      <c r="BK514" s="145"/>
    </row>
    <row r="515" spans="1:63" s="147" customFormat="1" ht="15" x14ac:dyDescent="0.25">
      <c r="A515" s="39" t="s">
        <v>637</v>
      </c>
      <c r="B515" s="97" t="s">
        <v>283</v>
      </c>
      <c r="C515" s="103" t="s">
        <v>284</v>
      </c>
      <c r="D515" s="103"/>
      <c r="E515" s="103"/>
      <c r="F515" s="103"/>
      <c r="G515" s="103"/>
      <c r="H515" s="41" t="s">
        <v>222</v>
      </c>
      <c r="I515" s="42">
        <v>3</v>
      </c>
      <c r="J515" s="43">
        <v>1</v>
      </c>
      <c r="K515" s="43">
        <v>3</v>
      </c>
      <c r="L515" s="49">
        <v>1181.19</v>
      </c>
      <c r="M515" s="62">
        <v>1.46</v>
      </c>
      <c r="N515" s="49">
        <v>1724.54</v>
      </c>
      <c r="O515" s="42"/>
      <c r="P515" s="50">
        <v>5949.6629999999996</v>
      </c>
      <c r="Q515" s="82"/>
      <c r="R515" s="82"/>
      <c r="S515" s="82"/>
      <c r="T515" s="82"/>
      <c r="U515" s="156"/>
      <c r="V515" s="82"/>
      <c r="W515" s="152"/>
      <c r="X515" s="82"/>
      <c r="Y515" s="82"/>
      <c r="Z515" s="82"/>
      <c r="AA515" s="82"/>
      <c r="AB515" s="145"/>
      <c r="AC515" s="145"/>
      <c r="AD515" s="145"/>
      <c r="AE515" s="145"/>
      <c r="AF515" s="145"/>
      <c r="AG515" s="145"/>
      <c r="AH515" s="145"/>
      <c r="AI515" s="145"/>
      <c r="AJ515" s="145"/>
      <c r="AK515" s="145"/>
      <c r="AL515" s="145"/>
      <c r="AM515" s="145"/>
      <c r="AN515" s="145"/>
      <c r="AO515" s="145"/>
      <c r="AP515" s="145"/>
      <c r="AQ515" s="145"/>
      <c r="AR515" s="145"/>
      <c r="AS515" s="145"/>
      <c r="AT515" s="145"/>
      <c r="AU515" s="145"/>
      <c r="AV515" s="146"/>
      <c r="AW515" s="146"/>
      <c r="AX515" s="146"/>
      <c r="AY515" s="146"/>
      <c r="AZ515" s="145"/>
      <c r="BA515" s="146"/>
      <c r="BB515" s="145"/>
      <c r="BC515" s="145"/>
      <c r="BD515" s="145"/>
      <c r="BE515" s="145"/>
      <c r="BF515" s="145"/>
      <c r="BG515" s="145"/>
      <c r="BH515" s="145"/>
      <c r="BI515" s="145"/>
      <c r="BJ515" s="145"/>
      <c r="BK515" s="145"/>
    </row>
    <row r="516" spans="1:63" s="147" customFormat="1" ht="15" x14ac:dyDescent="0.25">
      <c r="A516" s="59"/>
      <c r="B516" s="98"/>
      <c r="C516" s="102" t="s">
        <v>63</v>
      </c>
      <c r="D516" s="102"/>
      <c r="E516" s="102"/>
      <c r="F516" s="102"/>
      <c r="G516" s="102"/>
      <c r="H516" s="41"/>
      <c r="I516" s="42"/>
      <c r="J516" s="42"/>
      <c r="K516" s="42"/>
      <c r="L516" s="45"/>
      <c r="M516" s="42"/>
      <c r="N516" s="45"/>
      <c r="O516" s="42"/>
      <c r="P516" s="50">
        <v>5949.6629999999996</v>
      </c>
      <c r="Q516" s="82"/>
      <c r="R516" s="82"/>
      <c r="S516" s="82"/>
      <c r="T516" s="82"/>
      <c r="U516" s="156"/>
      <c r="V516" s="82"/>
      <c r="W516" s="82"/>
      <c r="X516" s="82"/>
      <c r="Y516" s="82"/>
      <c r="Z516" s="82"/>
      <c r="AA516" s="82"/>
      <c r="AB516" s="145"/>
      <c r="AC516" s="145"/>
      <c r="AD516" s="145"/>
      <c r="AE516" s="145"/>
      <c r="AF516" s="145"/>
      <c r="AG516" s="145"/>
      <c r="AH516" s="145"/>
      <c r="AI516" s="145"/>
      <c r="AJ516" s="145"/>
      <c r="AK516" s="145"/>
      <c r="AL516" s="145"/>
      <c r="AM516" s="145"/>
      <c r="AN516" s="145"/>
      <c r="AO516" s="145"/>
      <c r="AP516" s="145"/>
      <c r="AQ516" s="145"/>
      <c r="AR516" s="145"/>
      <c r="AS516" s="145"/>
      <c r="AT516" s="145"/>
      <c r="AU516" s="145"/>
      <c r="AV516" s="146"/>
      <c r="AW516" s="146"/>
      <c r="AX516" s="146"/>
      <c r="AY516" s="146"/>
      <c r="AZ516" s="145"/>
      <c r="BA516" s="146"/>
      <c r="BB516" s="145"/>
      <c r="BC516" s="145"/>
      <c r="BD516" s="145"/>
      <c r="BE516" s="145"/>
      <c r="BF516" s="145"/>
      <c r="BG516" s="145"/>
      <c r="BH516" s="145"/>
      <c r="BI516" s="145"/>
      <c r="BJ516" s="145"/>
      <c r="BK516" s="145"/>
    </row>
    <row r="517" spans="1:63" s="147" customFormat="1" ht="15" hidden="1" customHeight="1" x14ac:dyDescent="0.25">
      <c r="A517" s="39" t="s">
        <v>285</v>
      </c>
      <c r="B517" s="97" t="s">
        <v>317</v>
      </c>
      <c r="C517" s="105" t="s">
        <v>318</v>
      </c>
      <c r="D517" s="105"/>
      <c r="E517" s="105"/>
      <c r="F517" s="105"/>
      <c r="G517" s="105"/>
      <c r="H517" s="41" t="s">
        <v>83</v>
      </c>
      <c r="I517" s="42">
        <v>3</v>
      </c>
      <c r="J517" s="43">
        <v>1</v>
      </c>
      <c r="K517" s="43">
        <v>3</v>
      </c>
      <c r="L517" s="49">
        <v>2001.31</v>
      </c>
      <c r="M517" s="62">
        <v>1.46</v>
      </c>
      <c r="N517" s="49">
        <v>2921.91</v>
      </c>
      <c r="O517" s="42"/>
      <c r="P517" s="50">
        <v>0</v>
      </c>
      <c r="Q517" s="82"/>
      <c r="R517" s="82"/>
      <c r="S517" s="82"/>
      <c r="T517" s="82"/>
      <c r="U517" s="156"/>
      <c r="V517" s="82"/>
      <c r="W517" s="152"/>
      <c r="X517" s="82"/>
      <c r="Y517" s="82"/>
      <c r="Z517" s="82"/>
      <c r="AA517" s="82"/>
      <c r="AB517" s="145"/>
      <c r="AC517" s="145"/>
      <c r="AD517" s="145"/>
      <c r="AE517" s="145"/>
      <c r="AF517" s="145"/>
      <c r="AG517" s="145"/>
      <c r="AH517" s="145"/>
      <c r="AI517" s="145"/>
      <c r="AJ517" s="145"/>
      <c r="AK517" s="145"/>
      <c r="AL517" s="145"/>
      <c r="AM517" s="145"/>
      <c r="AN517" s="145"/>
      <c r="AO517" s="145"/>
      <c r="AP517" s="145"/>
      <c r="AQ517" s="145"/>
      <c r="AR517" s="145"/>
      <c r="AS517" s="145"/>
      <c r="AT517" s="145"/>
      <c r="AU517" s="145"/>
      <c r="AV517" s="146"/>
      <c r="AW517" s="146"/>
      <c r="AX517" s="146"/>
      <c r="AY517" s="146"/>
      <c r="AZ517" s="145"/>
      <c r="BA517" s="146"/>
      <c r="BB517" s="145"/>
      <c r="BC517" s="145"/>
      <c r="BD517" s="145"/>
      <c r="BE517" s="145"/>
      <c r="BF517" s="145"/>
      <c r="BG517" s="145"/>
      <c r="BH517" s="145"/>
      <c r="BI517" s="145"/>
      <c r="BJ517" s="145"/>
      <c r="BK517" s="145"/>
    </row>
    <row r="518" spans="1:63" s="147" customFormat="1" ht="15" hidden="1" customHeight="1" x14ac:dyDescent="0.25">
      <c r="A518" s="59"/>
      <c r="B518" s="98"/>
      <c r="C518" s="106" t="s">
        <v>63</v>
      </c>
      <c r="D518" s="106"/>
      <c r="E518" s="106"/>
      <c r="F518" s="106"/>
      <c r="G518" s="106"/>
      <c r="H518" s="41"/>
      <c r="I518" s="42"/>
      <c r="J518" s="42"/>
      <c r="K518" s="42"/>
      <c r="L518" s="45"/>
      <c r="M518" s="42"/>
      <c r="N518" s="45"/>
      <c r="O518" s="42"/>
      <c r="P518" s="50">
        <v>0</v>
      </c>
      <c r="Q518" s="82"/>
      <c r="R518" s="82"/>
      <c r="S518" s="82"/>
      <c r="T518" s="82"/>
      <c r="U518" s="156"/>
      <c r="V518" s="82"/>
      <c r="W518" s="151"/>
      <c r="X518" s="82"/>
      <c r="Y518" s="82"/>
      <c r="Z518" s="82"/>
      <c r="AA518" s="82"/>
      <c r="AB518" s="145"/>
      <c r="AC518" s="145"/>
      <c r="AD518" s="145"/>
      <c r="AE518" s="145"/>
      <c r="AF518" s="145"/>
      <c r="AG518" s="145"/>
      <c r="AH518" s="145"/>
      <c r="AI518" s="145"/>
      <c r="AJ518" s="145"/>
      <c r="AK518" s="145"/>
      <c r="AL518" s="145"/>
      <c r="AM518" s="145"/>
      <c r="AN518" s="145"/>
      <c r="AO518" s="145"/>
      <c r="AP518" s="145"/>
      <c r="AQ518" s="145"/>
      <c r="AR518" s="145"/>
      <c r="AS518" s="145"/>
      <c r="AT518" s="145"/>
      <c r="AU518" s="145"/>
      <c r="AV518" s="146"/>
      <c r="AW518" s="146"/>
      <c r="AX518" s="146"/>
      <c r="AY518" s="146"/>
      <c r="AZ518" s="145"/>
      <c r="BA518" s="146"/>
      <c r="BB518" s="145"/>
      <c r="BC518" s="145"/>
      <c r="BD518" s="145"/>
      <c r="BE518" s="145"/>
      <c r="BF518" s="145"/>
      <c r="BG518" s="145"/>
      <c r="BH518" s="145"/>
      <c r="BI518" s="145"/>
      <c r="BJ518" s="145"/>
      <c r="BK518" s="145"/>
    </row>
    <row r="519" spans="1:63" s="147" customFormat="1" ht="35.25" customHeight="1" x14ac:dyDescent="0.25">
      <c r="A519" s="39" t="s">
        <v>638</v>
      </c>
      <c r="B519" s="97" t="s">
        <v>287</v>
      </c>
      <c r="C519" s="103" t="s">
        <v>288</v>
      </c>
      <c r="D519" s="103"/>
      <c r="E519" s="103"/>
      <c r="F519" s="103"/>
      <c r="G519" s="103"/>
      <c r="H519" s="41" t="s">
        <v>222</v>
      </c>
      <c r="I519" s="42">
        <v>3</v>
      </c>
      <c r="J519" s="43">
        <v>1</v>
      </c>
      <c r="K519" s="43">
        <v>3</v>
      </c>
      <c r="L519" s="49">
        <v>1164.77</v>
      </c>
      <c r="M519" s="62">
        <v>1.1299999999999999</v>
      </c>
      <c r="N519" s="49">
        <v>1316.19</v>
      </c>
      <c r="O519" s="42"/>
      <c r="P519" s="50">
        <v>4540.8554999999997</v>
      </c>
      <c r="Q519" s="82"/>
      <c r="R519" s="82"/>
      <c r="S519" s="82"/>
      <c r="T519" s="82"/>
      <c r="U519" s="156"/>
      <c r="V519" s="82"/>
      <c r="W519" s="152"/>
      <c r="X519" s="82"/>
      <c r="Y519" s="82"/>
      <c r="Z519" s="82"/>
      <c r="AA519" s="82"/>
      <c r="AB519" s="145"/>
      <c r="AC519" s="145"/>
      <c r="AD519" s="145"/>
      <c r="AE519" s="145"/>
      <c r="AF519" s="145"/>
      <c r="AG519" s="145"/>
      <c r="AH519" s="145"/>
      <c r="AI519" s="145"/>
      <c r="AJ519" s="145"/>
      <c r="AK519" s="145"/>
      <c r="AL519" s="145"/>
      <c r="AM519" s="145"/>
      <c r="AN519" s="145"/>
      <c r="AO519" s="145"/>
      <c r="AP519" s="145"/>
      <c r="AQ519" s="145"/>
      <c r="AR519" s="145"/>
      <c r="AS519" s="145"/>
      <c r="AT519" s="145"/>
      <c r="AU519" s="145"/>
      <c r="AV519" s="146"/>
      <c r="AW519" s="146"/>
      <c r="AX519" s="146"/>
      <c r="AY519" s="146"/>
      <c r="AZ519" s="145"/>
      <c r="BA519" s="146"/>
      <c r="BB519" s="145"/>
      <c r="BC519" s="145"/>
      <c r="BD519" s="145"/>
      <c r="BE519" s="145"/>
      <c r="BF519" s="145"/>
      <c r="BG519" s="145"/>
      <c r="BH519" s="145"/>
      <c r="BI519" s="145"/>
      <c r="BJ519" s="145"/>
      <c r="BK519" s="145"/>
    </row>
    <row r="520" spans="1:63" s="147" customFormat="1" ht="15" x14ac:dyDescent="0.25">
      <c r="A520" s="59"/>
      <c r="B520" s="98"/>
      <c r="C520" s="102" t="s">
        <v>63</v>
      </c>
      <c r="D520" s="102"/>
      <c r="E520" s="102"/>
      <c r="F520" s="102"/>
      <c r="G520" s="102"/>
      <c r="H520" s="41"/>
      <c r="I520" s="42"/>
      <c r="J520" s="42"/>
      <c r="K520" s="42"/>
      <c r="L520" s="45"/>
      <c r="M520" s="42"/>
      <c r="N520" s="45"/>
      <c r="O520" s="42"/>
      <c r="P520" s="50">
        <v>4540.8554999999997</v>
      </c>
      <c r="Q520" s="82"/>
      <c r="R520" s="82"/>
      <c r="S520" s="82"/>
      <c r="T520" s="82"/>
      <c r="U520" s="156"/>
      <c r="V520" s="82"/>
      <c r="W520" s="151"/>
      <c r="X520" s="82"/>
      <c r="Y520" s="82"/>
      <c r="Z520" s="82"/>
      <c r="AA520" s="82"/>
      <c r="AB520" s="145"/>
      <c r="AC520" s="145"/>
      <c r="AD520" s="145"/>
      <c r="AE520" s="145"/>
      <c r="AF520" s="145"/>
      <c r="AG520" s="145"/>
      <c r="AH520" s="145"/>
      <c r="AI520" s="145"/>
      <c r="AJ520" s="145"/>
      <c r="AK520" s="145"/>
      <c r="AL520" s="145"/>
      <c r="AM520" s="145"/>
      <c r="AN520" s="145"/>
      <c r="AO520" s="145"/>
      <c r="AP520" s="145"/>
      <c r="AQ520" s="145"/>
      <c r="AR520" s="145"/>
      <c r="AS520" s="145"/>
      <c r="AT520" s="145"/>
      <c r="AU520" s="145"/>
      <c r="AV520" s="146"/>
      <c r="AW520" s="146"/>
      <c r="AX520" s="146"/>
      <c r="AY520" s="146"/>
      <c r="AZ520" s="145"/>
      <c r="BA520" s="146"/>
      <c r="BB520" s="145"/>
      <c r="BC520" s="145"/>
      <c r="BD520" s="145"/>
      <c r="BE520" s="145"/>
      <c r="BF520" s="145"/>
      <c r="BG520" s="145"/>
      <c r="BH520" s="145"/>
      <c r="BI520" s="145"/>
      <c r="BJ520" s="145"/>
      <c r="BK520" s="145"/>
    </row>
    <row r="521" spans="1:63" s="147" customFormat="1" ht="15" x14ac:dyDescent="0.25">
      <c r="A521" s="39" t="s">
        <v>639</v>
      </c>
      <c r="B521" s="97" t="s">
        <v>290</v>
      </c>
      <c r="C521" s="103" t="s">
        <v>291</v>
      </c>
      <c r="D521" s="103"/>
      <c r="E521" s="103"/>
      <c r="F521" s="103"/>
      <c r="G521" s="103"/>
      <c r="H521" s="41" t="s">
        <v>292</v>
      </c>
      <c r="I521" s="42">
        <v>0.9</v>
      </c>
      <c r="J521" s="43">
        <v>1</v>
      </c>
      <c r="K521" s="67">
        <v>0.9</v>
      </c>
      <c r="L521" s="61">
        <v>565.04999999999995</v>
      </c>
      <c r="M521" s="62">
        <v>1.1299999999999999</v>
      </c>
      <c r="N521" s="61">
        <v>638.51</v>
      </c>
      <c r="O521" s="42"/>
      <c r="P521" s="50">
        <v>660.84749999999997</v>
      </c>
      <c r="Q521" s="82"/>
      <c r="R521" s="82"/>
      <c r="S521" s="82"/>
      <c r="T521" s="82"/>
      <c r="U521" s="167"/>
      <c r="V521" s="82"/>
      <c r="W521" s="175"/>
      <c r="X521" s="82"/>
      <c r="Y521" s="82"/>
      <c r="Z521" s="82"/>
      <c r="AA521" s="82"/>
      <c r="AB521" s="145"/>
      <c r="AC521" s="145"/>
      <c r="AD521" s="145"/>
      <c r="AE521" s="145"/>
      <c r="AF521" s="145"/>
      <c r="AG521" s="145"/>
      <c r="AH521" s="145"/>
      <c r="AI521" s="145"/>
      <c r="AJ521" s="145"/>
      <c r="AK521" s="145"/>
      <c r="AL521" s="145"/>
      <c r="AM521" s="145"/>
      <c r="AN521" s="145"/>
      <c r="AO521" s="145"/>
      <c r="AP521" s="145"/>
      <c r="AQ521" s="145"/>
      <c r="AR521" s="145"/>
      <c r="AS521" s="145"/>
      <c r="AT521" s="145"/>
      <c r="AU521" s="145"/>
      <c r="AV521" s="146"/>
      <c r="AW521" s="146"/>
      <c r="AX521" s="146"/>
      <c r="AY521" s="146"/>
      <c r="AZ521" s="145"/>
      <c r="BA521" s="146"/>
      <c r="BB521" s="145"/>
      <c r="BC521" s="145"/>
      <c r="BD521" s="145"/>
      <c r="BE521" s="145"/>
      <c r="BF521" s="145"/>
      <c r="BG521" s="145"/>
      <c r="BH521" s="145"/>
      <c r="BI521" s="145"/>
      <c r="BJ521" s="145"/>
      <c r="BK521" s="145"/>
    </row>
    <row r="522" spans="1:63" s="147" customFormat="1" ht="15" x14ac:dyDescent="0.25">
      <c r="A522" s="59"/>
      <c r="B522" s="98"/>
      <c r="C522" s="102" t="s">
        <v>63</v>
      </c>
      <c r="D522" s="102"/>
      <c r="E522" s="102"/>
      <c r="F522" s="102"/>
      <c r="G522" s="102"/>
      <c r="H522" s="41"/>
      <c r="I522" s="42"/>
      <c r="J522" s="42"/>
      <c r="K522" s="42"/>
      <c r="L522" s="45"/>
      <c r="M522" s="42"/>
      <c r="N522" s="45"/>
      <c r="O522" s="42"/>
      <c r="P522" s="50">
        <v>660.84749999999997</v>
      </c>
      <c r="Q522" s="82"/>
      <c r="R522" s="82"/>
      <c r="S522" s="82"/>
      <c r="T522" s="82"/>
      <c r="U522" s="167"/>
      <c r="V522" s="82"/>
      <c r="W522" s="151"/>
      <c r="X522" s="82"/>
      <c r="Y522" s="82"/>
      <c r="Z522" s="82"/>
      <c r="AA522" s="82"/>
      <c r="AB522" s="145"/>
      <c r="AC522" s="145"/>
      <c r="AD522" s="145"/>
      <c r="AE522" s="145"/>
      <c r="AF522" s="145"/>
      <c r="AG522" s="145"/>
      <c r="AH522" s="145"/>
      <c r="AI522" s="145"/>
      <c r="AJ522" s="145"/>
      <c r="AK522" s="145"/>
      <c r="AL522" s="145"/>
      <c r="AM522" s="145"/>
      <c r="AN522" s="145"/>
      <c r="AO522" s="145"/>
      <c r="AP522" s="145"/>
      <c r="AQ522" s="145"/>
      <c r="AR522" s="145"/>
      <c r="AS522" s="145"/>
      <c r="AT522" s="145"/>
      <c r="AU522" s="145"/>
      <c r="AV522" s="146"/>
      <c r="AW522" s="146"/>
      <c r="AX522" s="146"/>
      <c r="AY522" s="146"/>
      <c r="AZ522" s="145"/>
      <c r="BA522" s="146"/>
      <c r="BB522" s="145"/>
      <c r="BC522" s="145"/>
      <c r="BD522" s="145"/>
      <c r="BE522" s="145"/>
      <c r="BF522" s="145"/>
      <c r="BG522" s="145"/>
      <c r="BH522" s="145"/>
      <c r="BI522" s="145"/>
      <c r="BJ522" s="145"/>
      <c r="BK522" s="145"/>
    </row>
    <row r="523" spans="1:63" s="147" customFormat="1" ht="15" x14ac:dyDescent="0.25">
      <c r="A523" s="39" t="s">
        <v>640</v>
      </c>
      <c r="B523" s="97" t="s">
        <v>294</v>
      </c>
      <c r="C523" s="103" t="s">
        <v>295</v>
      </c>
      <c r="D523" s="103"/>
      <c r="E523" s="103"/>
      <c r="F523" s="103"/>
      <c r="G523" s="103"/>
      <c r="H523" s="41" t="s">
        <v>83</v>
      </c>
      <c r="I523" s="42">
        <v>9</v>
      </c>
      <c r="J523" s="43">
        <v>1</v>
      </c>
      <c r="K523" s="43">
        <v>9</v>
      </c>
      <c r="L523" s="61">
        <v>279.64999999999998</v>
      </c>
      <c r="M523" s="62">
        <v>1.36</v>
      </c>
      <c r="N523" s="61">
        <v>380.32</v>
      </c>
      <c r="O523" s="42"/>
      <c r="P523" s="50">
        <v>6837.6239999999998</v>
      </c>
      <c r="Q523" s="82"/>
      <c r="R523" s="82"/>
      <c r="S523" s="82"/>
      <c r="T523" s="82"/>
      <c r="U523" s="156"/>
      <c r="V523" s="82"/>
      <c r="W523" s="152"/>
      <c r="X523" s="82"/>
      <c r="Y523" s="82"/>
      <c r="Z523" s="82"/>
      <c r="AA523" s="82"/>
      <c r="AB523" s="145"/>
      <c r="AC523" s="145"/>
      <c r="AD523" s="145"/>
      <c r="AE523" s="145"/>
      <c r="AF523" s="145"/>
      <c r="AG523" s="145"/>
      <c r="AH523" s="145"/>
      <c r="AI523" s="145"/>
      <c r="AJ523" s="145"/>
      <c r="AK523" s="145"/>
      <c r="AL523" s="145"/>
      <c r="AM523" s="145"/>
      <c r="AN523" s="145"/>
      <c r="AO523" s="145"/>
      <c r="AP523" s="145"/>
      <c r="AQ523" s="145"/>
      <c r="AR523" s="145"/>
      <c r="AS523" s="145"/>
      <c r="AT523" s="145"/>
      <c r="AU523" s="145"/>
      <c r="AV523" s="146"/>
      <c r="AW523" s="146"/>
      <c r="AX523" s="146"/>
      <c r="AY523" s="146"/>
      <c r="AZ523" s="145"/>
      <c r="BA523" s="146"/>
      <c r="BB523" s="145"/>
      <c r="BC523" s="145"/>
      <c r="BD523" s="145"/>
      <c r="BE523" s="145"/>
      <c r="BF523" s="145"/>
      <c r="BG523" s="145"/>
      <c r="BH523" s="145"/>
      <c r="BI523" s="145"/>
      <c r="BJ523" s="145"/>
      <c r="BK523" s="145"/>
    </row>
    <row r="524" spans="1:63" s="147" customFormat="1" ht="15" x14ac:dyDescent="0.25">
      <c r="A524" s="59"/>
      <c r="B524" s="98"/>
      <c r="C524" s="102" t="s">
        <v>63</v>
      </c>
      <c r="D524" s="102"/>
      <c r="E524" s="102"/>
      <c r="F524" s="102"/>
      <c r="G524" s="102"/>
      <c r="H524" s="41"/>
      <c r="I524" s="42"/>
      <c r="J524" s="42"/>
      <c r="K524" s="42"/>
      <c r="L524" s="45"/>
      <c r="M524" s="42"/>
      <c r="N524" s="45"/>
      <c r="O524" s="42"/>
      <c r="P524" s="50">
        <v>6837.6239999999998</v>
      </c>
      <c r="Q524" s="82"/>
      <c r="R524" s="82"/>
      <c r="S524" s="82"/>
      <c r="T524" s="82"/>
      <c r="U524" s="156"/>
      <c r="V524" s="82"/>
      <c r="W524" s="82"/>
      <c r="X524" s="82"/>
      <c r="Y524" s="82"/>
      <c r="Z524" s="82"/>
      <c r="AA524" s="82"/>
      <c r="AB524" s="145"/>
      <c r="AC524" s="145"/>
      <c r="AD524" s="145"/>
      <c r="AE524" s="145"/>
      <c r="AF524" s="145"/>
      <c r="AG524" s="145"/>
      <c r="AH524" s="145"/>
      <c r="AI524" s="145"/>
      <c r="AJ524" s="145"/>
      <c r="AK524" s="145"/>
      <c r="AL524" s="145"/>
      <c r="AM524" s="145"/>
      <c r="AN524" s="145"/>
      <c r="AO524" s="145"/>
      <c r="AP524" s="145"/>
      <c r="AQ524" s="145"/>
      <c r="AR524" s="145"/>
      <c r="AS524" s="145"/>
      <c r="AT524" s="145"/>
      <c r="AU524" s="145"/>
      <c r="AV524" s="146"/>
      <c r="AW524" s="146"/>
      <c r="AX524" s="146"/>
      <c r="AY524" s="146"/>
      <c r="AZ524" s="145"/>
      <c r="BA524" s="146"/>
      <c r="BB524" s="145"/>
      <c r="BC524" s="145"/>
      <c r="BD524" s="145"/>
      <c r="BE524" s="145"/>
      <c r="BF524" s="145"/>
      <c r="BG524" s="145"/>
      <c r="BH524" s="145"/>
      <c r="BI524" s="145"/>
      <c r="BJ524" s="145"/>
      <c r="BK524" s="145"/>
    </row>
    <row r="525" spans="1:63" s="147" customFormat="1" ht="0" hidden="1" customHeight="1" x14ac:dyDescent="0.25">
      <c r="A525" s="70"/>
      <c r="B525" s="71"/>
      <c r="C525" s="71"/>
      <c r="D525" s="71"/>
      <c r="E525" s="71"/>
      <c r="F525" s="72"/>
      <c r="G525" s="72"/>
      <c r="H525" s="72"/>
      <c r="I525" s="72"/>
      <c r="J525" s="73"/>
      <c r="K525" s="72"/>
      <c r="L525" s="72"/>
      <c r="M525" s="72"/>
      <c r="N525" s="73"/>
      <c r="O525" s="74"/>
      <c r="P525" s="50">
        <v>0</v>
      </c>
      <c r="Q525" s="82"/>
      <c r="R525" s="82"/>
      <c r="S525" s="82"/>
      <c r="T525" s="82"/>
      <c r="U525" s="153"/>
      <c r="V525" s="82"/>
      <c r="W525" s="82"/>
      <c r="X525" s="82"/>
      <c r="Y525" s="82"/>
      <c r="Z525" s="82"/>
      <c r="AA525" s="82"/>
      <c r="AB525" s="145"/>
      <c r="AC525" s="145"/>
      <c r="AD525" s="145"/>
      <c r="AE525" s="145"/>
      <c r="AF525" s="145"/>
      <c r="AG525" s="145"/>
      <c r="AH525" s="145"/>
      <c r="AI525" s="145"/>
      <c r="AJ525" s="145"/>
      <c r="AK525" s="145"/>
      <c r="AL525" s="145"/>
      <c r="AM525" s="145"/>
      <c r="AN525" s="145"/>
      <c r="AO525" s="145"/>
      <c r="AP525" s="145"/>
      <c r="AQ525" s="145"/>
      <c r="AR525" s="145"/>
      <c r="AS525" s="145"/>
      <c r="AT525" s="145"/>
      <c r="AU525" s="145"/>
      <c r="AV525" s="146"/>
      <c r="AW525" s="146"/>
      <c r="AX525" s="146"/>
      <c r="AY525" s="146"/>
      <c r="AZ525" s="145"/>
      <c r="BA525" s="146"/>
      <c r="BB525" s="145"/>
      <c r="BC525" s="145"/>
      <c r="BD525" s="145"/>
      <c r="BE525" s="145"/>
      <c r="BF525" s="145"/>
      <c r="BG525" s="145"/>
      <c r="BH525" s="145"/>
      <c r="BI525" s="145"/>
      <c r="BJ525" s="145"/>
      <c r="BK525" s="145"/>
    </row>
    <row r="526" spans="1:63" s="147" customFormat="1" ht="15" x14ac:dyDescent="0.25">
      <c r="A526" s="39" t="s">
        <v>641</v>
      </c>
      <c r="B526" s="97" t="s">
        <v>313</v>
      </c>
      <c r="C526" s="103" t="s">
        <v>312</v>
      </c>
      <c r="D526" s="103"/>
      <c r="E526" s="103"/>
      <c r="F526" s="103"/>
      <c r="G526" s="103"/>
      <c r="H526" s="41" t="s">
        <v>75</v>
      </c>
      <c r="I526" s="42">
        <v>0.03</v>
      </c>
      <c r="J526" s="43">
        <v>1</v>
      </c>
      <c r="K526" s="62">
        <v>0.03</v>
      </c>
      <c r="L526" s="45"/>
      <c r="M526" s="42"/>
      <c r="N526" s="45"/>
      <c r="O526" s="42"/>
      <c r="P526" s="50">
        <v>0</v>
      </c>
      <c r="Q526" s="82"/>
      <c r="R526" s="82"/>
      <c r="S526" s="82"/>
      <c r="T526" s="82"/>
      <c r="U526" s="153"/>
      <c r="V526" s="82"/>
      <c r="W526" s="168"/>
      <c r="X526" s="82"/>
      <c r="Y526" s="82"/>
      <c r="Z526" s="82"/>
      <c r="AA526" s="82"/>
      <c r="AB526" s="145"/>
      <c r="AC526" s="145"/>
      <c r="AD526" s="145"/>
      <c r="AE526" s="145"/>
      <c r="AF526" s="145"/>
      <c r="AG526" s="145"/>
      <c r="AH526" s="145"/>
      <c r="AI526" s="145"/>
      <c r="AJ526" s="145"/>
      <c r="AK526" s="145"/>
      <c r="AL526" s="145"/>
      <c r="AM526" s="145"/>
      <c r="AN526" s="145"/>
      <c r="AO526" s="145"/>
      <c r="AP526" s="145"/>
      <c r="AQ526" s="145"/>
      <c r="AR526" s="145"/>
      <c r="AS526" s="145"/>
      <c r="AT526" s="145"/>
      <c r="AU526" s="145"/>
      <c r="AV526" s="146"/>
      <c r="AW526" s="146"/>
      <c r="AX526" s="146"/>
      <c r="AY526" s="146"/>
      <c r="AZ526" s="145"/>
      <c r="BA526" s="146"/>
      <c r="BB526" s="145"/>
      <c r="BC526" s="145"/>
      <c r="BD526" s="145"/>
      <c r="BE526" s="145"/>
      <c r="BF526" s="145"/>
      <c r="BG526" s="145"/>
      <c r="BH526" s="145"/>
      <c r="BI526" s="145"/>
      <c r="BJ526" s="145"/>
      <c r="BK526" s="145"/>
    </row>
    <row r="527" spans="1:63" s="147" customFormat="1" ht="15" x14ac:dyDescent="0.25">
      <c r="A527" s="47"/>
      <c r="B527" s="48"/>
      <c r="C527" s="102" t="s">
        <v>56</v>
      </c>
      <c r="D527" s="102"/>
      <c r="E527" s="102"/>
      <c r="F527" s="102"/>
      <c r="G527" s="102"/>
      <c r="H527" s="41"/>
      <c r="I527" s="42"/>
      <c r="J527" s="42"/>
      <c r="K527" s="42"/>
      <c r="L527" s="45"/>
      <c r="M527" s="42"/>
      <c r="N527" s="49"/>
      <c r="O527" s="42"/>
      <c r="P527" s="50">
        <v>2405.2824999999998</v>
      </c>
      <c r="Q527" s="157"/>
      <c r="R527" s="157"/>
      <c r="S527" s="82"/>
      <c r="T527" s="82"/>
      <c r="U527" s="156"/>
      <c r="V527" s="82"/>
      <c r="W527" s="151"/>
      <c r="X527" s="82"/>
      <c r="Y527" s="82"/>
      <c r="Z527" s="82"/>
      <c r="AA527" s="82"/>
      <c r="AB527" s="145"/>
      <c r="AC527" s="145"/>
      <c r="AD527" s="145"/>
      <c r="AE527" s="145"/>
      <c r="AF527" s="145"/>
      <c r="AG527" s="145"/>
      <c r="AH527" s="145"/>
      <c r="AI527" s="145"/>
      <c r="AJ527" s="145"/>
      <c r="AK527" s="145"/>
      <c r="AL527" s="145"/>
      <c r="AM527" s="145"/>
      <c r="AN527" s="145"/>
      <c r="AO527" s="145"/>
      <c r="AP527" s="145"/>
      <c r="AQ527" s="145"/>
      <c r="AR527" s="145"/>
      <c r="AS527" s="145"/>
      <c r="AT527" s="145"/>
      <c r="AU527" s="145"/>
      <c r="AV527" s="146"/>
      <c r="AW527" s="146"/>
      <c r="AX527" s="146"/>
      <c r="AY527" s="146"/>
      <c r="AZ527" s="145"/>
      <c r="BA527" s="146"/>
      <c r="BB527" s="145"/>
      <c r="BC527" s="145"/>
      <c r="BD527" s="145"/>
      <c r="BE527" s="145"/>
      <c r="BF527" s="145"/>
      <c r="BG527" s="145"/>
      <c r="BH527" s="145"/>
      <c r="BI527" s="145"/>
      <c r="BJ527" s="145"/>
      <c r="BK527" s="145"/>
    </row>
    <row r="528" spans="1:63" s="147" customFormat="1" ht="15" x14ac:dyDescent="0.25">
      <c r="A528" s="52"/>
      <c r="B528" s="53"/>
      <c r="C528" s="104" t="s">
        <v>57</v>
      </c>
      <c r="D528" s="104"/>
      <c r="E528" s="104"/>
      <c r="F528" s="104"/>
      <c r="G528" s="104"/>
      <c r="H528" s="54"/>
      <c r="I528" s="55"/>
      <c r="J528" s="55"/>
      <c r="K528" s="55"/>
      <c r="L528" s="56"/>
      <c r="M528" s="55"/>
      <c r="N528" s="56"/>
      <c r="O528" s="55"/>
      <c r="P528" s="77">
        <v>1917.7860000000001</v>
      </c>
      <c r="Q528" s="82"/>
      <c r="R528" s="82"/>
      <c r="S528" s="82"/>
      <c r="T528" s="82"/>
      <c r="U528" s="163"/>
      <c r="V528" s="82"/>
      <c r="W528" s="160"/>
      <c r="X528" s="82"/>
      <c r="Y528" s="82"/>
      <c r="Z528" s="82"/>
      <c r="AA528" s="82"/>
      <c r="AB528" s="145"/>
      <c r="AC528" s="145"/>
      <c r="AD528" s="145"/>
      <c r="AE528" s="145"/>
      <c r="AF528" s="145"/>
      <c r="AG528" s="145"/>
      <c r="AH528" s="145"/>
      <c r="AI528" s="145"/>
      <c r="AJ528" s="145"/>
      <c r="AK528" s="145"/>
      <c r="AL528" s="145"/>
      <c r="AM528" s="145"/>
      <c r="AN528" s="145"/>
      <c r="AO528" s="145"/>
      <c r="AP528" s="145"/>
      <c r="AQ528" s="145"/>
      <c r="AR528" s="145"/>
      <c r="AS528" s="145"/>
      <c r="AT528" s="145"/>
      <c r="AU528" s="145"/>
      <c r="AV528" s="146"/>
      <c r="AW528" s="146"/>
      <c r="AX528" s="146"/>
      <c r="AY528" s="146"/>
      <c r="AZ528" s="145"/>
      <c r="BA528" s="146"/>
      <c r="BB528" s="145"/>
      <c r="BC528" s="145"/>
      <c r="BD528" s="145"/>
      <c r="BE528" s="145"/>
      <c r="BF528" s="145"/>
      <c r="BG528" s="145"/>
      <c r="BH528" s="145"/>
      <c r="BI528" s="145"/>
      <c r="BJ528" s="145"/>
      <c r="BK528" s="145"/>
    </row>
    <row r="529" spans="1:63" s="147" customFormat="1" ht="15" x14ac:dyDescent="0.25">
      <c r="A529" s="52"/>
      <c r="B529" s="53" t="s">
        <v>225</v>
      </c>
      <c r="C529" s="104" t="s">
        <v>226</v>
      </c>
      <c r="D529" s="104"/>
      <c r="E529" s="104"/>
      <c r="F529" s="104"/>
      <c r="G529" s="104"/>
      <c r="H529" s="54" t="s">
        <v>60</v>
      </c>
      <c r="I529" s="58">
        <v>103</v>
      </c>
      <c r="J529" s="55"/>
      <c r="K529" s="58">
        <v>103</v>
      </c>
      <c r="L529" s="56"/>
      <c r="M529" s="55"/>
      <c r="N529" s="56"/>
      <c r="O529" s="55"/>
      <c r="P529" s="77">
        <v>1975.3205</v>
      </c>
      <c r="Q529" s="82"/>
      <c r="R529" s="82"/>
      <c r="S529" s="82"/>
      <c r="T529" s="82"/>
      <c r="U529" s="163"/>
      <c r="V529" s="82"/>
      <c r="W529" s="164"/>
      <c r="X529" s="82"/>
      <c r="Y529" s="82"/>
      <c r="Z529" s="82"/>
      <c r="AA529" s="82"/>
      <c r="AB529" s="145"/>
      <c r="AC529" s="145"/>
      <c r="AD529" s="145"/>
      <c r="AE529" s="145"/>
      <c r="AF529" s="145"/>
      <c r="AG529" s="145"/>
      <c r="AH529" s="145"/>
      <c r="AI529" s="145"/>
      <c r="AJ529" s="145"/>
      <c r="AK529" s="145"/>
      <c r="AL529" s="145"/>
      <c r="AM529" s="145"/>
      <c r="AN529" s="145"/>
      <c r="AO529" s="145"/>
      <c r="AP529" s="145"/>
      <c r="AQ529" s="145"/>
      <c r="AR529" s="145"/>
      <c r="AS529" s="145"/>
      <c r="AT529" s="145"/>
      <c r="AU529" s="145"/>
      <c r="AV529" s="146"/>
      <c r="AW529" s="146"/>
      <c r="AX529" s="146"/>
      <c r="AY529" s="146"/>
      <c r="AZ529" s="145"/>
      <c r="BA529" s="146"/>
      <c r="BB529" s="145"/>
      <c r="BC529" s="145"/>
      <c r="BD529" s="145"/>
      <c r="BE529" s="145"/>
      <c r="BF529" s="145"/>
      <c r="BG529" s="145"/>
      <c r="BH529" s="145"/>
      <c r="BI529" s="145"/>
      <c r="BJ529" s="145"/>
      <c r="BK529" s="145"/>
    </row>
    <row r="530" spans="1:63" s="147" customFormat="1" ht="15" x14ac:dyDescent="0.25">
      <c r="A530" s="52"/>
      <c r="B530" s="53" t="s">
        <v>227</v>
      </c>
      <c r="C530" s="104" t="s">
        <v>228</v>
      </c>
      <c r="D530" s="104"/>
      <c r="E530" s="104"/>
      <c r="F530" s="104"/>
      <c r="G530" s="104"/>
      <c r="H530" s="54" t="s">
        <v>60</v>
      </c>
      <c r="I530" s="58">
        <v>52</v>
      </c>
      <c r="J530" s="55"/>
      <c r="K530" s="58">
        <v>52</v>
      </c>
      <c r="L530" s="56"/>
      <c r="M530" s="55"/>
      <c r="N530" s="56"/>
      <c r="O530" s="55"/>
      <c r="P530" s="77">
        <v>997.24549999999988</v>
      </c>
      <c r="Q530" s="82"/>
      <c r="R530" s="82"/>
      <c r="S530" s="82"/>
      <c r="T530" s="82"/>
      <c r="U530" s="170"/>
      <c r="V530" s="82"/>
      <c r="W530" s="164"/>
      <c r="X530" s="82"/>
      <c r="Y530" s="82"/>
      <c r="Z530" s="82"/>
      <c r="AA530" s="82"/>
      <c r="AB530" s="145"/>
      <c r="AC530" s="145"/>
      <c r="AD530" s="145"/>
      <c r="AE530" s="145"/>
      <c r="AF530" s="145"/>
      <c r="AG530" s="145"/>
      <c r="AH530" s="145"/>
      <c r="AI530" s="145"/>
      <c r="AJ530" s="145"/>
      <c r="AK530" s="145"/>
      <c r="AL530" s="145"/>
      <c r="AM530" s="145"/>
      <c r="AN530" s="145"/>
      <c r="AO530" s="145"/>
      <c r="AP530" s="145"/>
      <c r="AQ530" s="145"/>
      <c r="AR530" s="145"/>
      <c r="AS530" s="145"/>
      <c r="AT530" s="145"/>
      <c r="AU530" s="145"/>
      <c r="AV530" s="146"/>
      <c r="AW530" s="146"/>
      <c r="AX530" s="146"/>
      <c r="AY530" s="146"/>
      <c r="AZ530" s="145"/>
      <c r="BA530" s="146"/>
      <c r="BB530" s="145"/>
      <c r="BC530" s="145"/>
      <c r="BD530" s="145"/>
      <c r="BE530" s="145"/>
      <c r="BF530" s="145"/>
      <c r="BG530" s="145"/>
      <c r="BH530" s="145"/>
      <c r="BI530" s="145"/>
      <c r="BJ530" s="145"/>
      <c r="BK530" s="145"/>
    </row>
    <row r="531" spans="1:63" s="147" customFormat="1" ht="15" x14ac:dyDescent="0.25">
      <c r="A531" s="59"/>
      <c r="B531" s="98"/>
      <c r="C531" s="102" t="s">
        <v>63</v>
      </c>
      <c r="D531" s="102"/>
      <c r="E531" s="102"/>
      <c r="F531" s="102"/>
      <c r="G531" s="102"/>
      <c r="H531" s="41"/>
      <c r="I531" s="42"/>
      <c r="J531" s="42"/>
      <c r="K531" s="42"/>
      <c r="L531" s="45"/>
      <c r="M531" s="42"/>
      <c r="N531" s="49">
        <f>P531/K526</f>
        <v>63926.28333333334</v>
      </c>
      <c r="O531" s="42"/>
      <c r="P531" s="50">
        <v>1917.7885000000001</v>
      </c>
      <c r="Q531" s="82"/>
      <c r="R531" s="82"/>
      <c r="S531" s="82"/>
      <c r="T531" s="82"/>
      <c r="U531" s="156"/>
      <c r="V531" s="82"/>
      <c r="W531" s="151"/>
      <c r="X531" s="82"/>
      <c r="Y531" s="82"/>
      <c r="Z531" s="82"/>
      <c r="AA531" s="82"/>
      <c r="AB531" s="145"/>
      <c r="AC531" s="145"/>
      <c r="AD531" s="145"/>
      <c r="AE531" s="145"/>
      <c r="AF531" s="145"/>
      <c r="AG531" s="145"/>
      <c r="AH531" s="145"/>
      <c r="AI531" s="145"/>
      <c r="AJ531" s="145"/>
      <c r="AK531" s="145"/>
      <c r="AL531" s="145"/>
      <c r="AM531" s="145"/>
      <c r="AN531" s="145"/>
      <c r="AO531" s="145"/>
      <c r="AP531" s="145"/>
      <c r="AQ531" s="145"/>
      <c r="AR531" s="145"/>
      <c r="AS531" s="145"/>
      <c r="AT531" s="145"/>
      <c r="AU531" s="145"/>
      <c r="AV531" s="146"/>
      <c r="AW531" s="146"/>
      <c r="AX531" s="146"/>
      <c r="AY531" s="146"/>
      <c r="AZ531" s="145"/>
      <c r="BA531" s="146"/>
      <c r="BB531" s="145"/>
      <c r="BC531" s="145"/>
      <c r="BD531" s="145"/>
      <c r="BE531" s="145"/>
      <c r="BF531" s="145"/>
      <c r="BG531" s="145"/>
      <c r="BH531" s="145"/>
      <c r="BI531" s="145"/>
      <c r="BJ531" s="145"/>
      <c r="BK531" s="145"/>
    </row>
    <row r="532" spans="1:63" s="147" customFormat="1" ht="15" x14ac:dyDescent="0.25">
      <c r="A532" s="39" t="s">
        <v>642</v>
      </c>
      <c r="B532" s="97" t="s">
        <v>314</v>
      </c>
      <c r="C532" s="103" t="s">
        <v>315</v>
      </c>
      <c r="D532" s="103"/>
      <c r="E532" s="103"/>
      <c r="F532" s="103"/>
      <c r="G532" s="103"/>
      <c r="H532" s="41" t="s">
        <v>83</v>
      </c>
      <c r="I532" s="42">
        <v>3</v>
      </c>
      <c r="J532" s="43">
        <v>1</v>
      </c>
      <c r="K532" s="43">
        <v>3</v>
      </c>
      <c r="L532" s="49">
        <f>N532/M532</f>
        <v>4144.2009132420089</v>
      </c>
      <c r="M532" s="62">
        <v>1.46</v>
      </c>
      <c r="N532" s="49">
        <f>P532/K532</f>
        <v>6050.5333333333328</v>
      </c>
      <c r="O532" s="42"/>
      <c r="P532" s="50">
        <v>18151.599999999999</v>
      </c>
      <c r="Q532" s="82"/>
      <c r="R532" s="82"/>
      <c r="S532" s="82"/>
      <c r="T532" s="82"/>
      <c r="U532" s="156"/>
      <c r="V532" s="82"/>
      <c r="W532" s="152"/>
      <c r="X532" s="82"/>
      <c r="Y532" s="82"/>
      <c r="Z532" s="82"/>
      <c r="AA532" s="82"/>
      <c r="AB532" s="145"/>
      <c r="AC532" s="145"/>
      <c r="AD532" s="145"/>
      <c r="AE532" s="145"/>
      <c r="AF532" s="145"/>
      <c r="AG532" s="145"/>
      <c r="AH532" s="145"/>
      <c r="AI532" s="145"/>
      <c r="AJ532" s="145"/>
      <c r="AK532" s="145"/>
      <c r="AL532" s="145"/>
      <c r="AM532" s="145"/>
      <c r="AN532" s="145"/>
      <c r="AO532" s="145"/>
      <c r="AP532" s="145"/>
      <c r="AQ532" s="145"/>
      <c r="AR532" s="145"/>
      <c r="AS532" s="145"/>
      <c r="AT532" s="145"/>
      <c r="AU532" s="145"/>
      <c r="AV532" s="146"/>
      <c r="AW532" s="146"/>
      <c r="AX532" s="146"/>
      <c r="AY532" s="146"/>
      <c r="AZ532" s="145"/>
      <c r="BA532" s="146"/>
      <c r="BB532" s="145"/>
      <c r="BC532" s="145"/>
      <c r="BD532" s="145"/>
      <c r="BE532" s="145"/>
      <c r="BF532" s="145"/>
      <c r="BG532" s="145"/>
      <c r="BH532" s="145"/>
      <c r="BI532" s="145"/>
      <c r="BJ532" s="145"/>
      <c r="BK532" s="145"/>
    </row>
    <row r="533" spans="1:63" s="147" customFormat="1" ht="15" customHeight="1" x14ac:dyDescent="0.25">
      <c r="A533" s="252" t="s">
        <v>578</v>
      </c>
      <c r="B533" s="141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91">
        <v>452815.76433383406</v>
      </c>
      <c r="Q533" s="182"/>
      <c r="R533" s="182"/>
      <c r="S533" s="82"/>
      <c r="T533" s="82"/>
      <c r="U533" s="162"/>
      <c r="V533" s="82"/>
      <c r="W533" s="82"/>
      <c r="X533" s="82"/>
      <c r="Y533" s="82"/>
      <c r="Z533" s="82"/>
      <c r="AA533" s="82"/>
      <c r="AB533" s="145"/>
      <c r="AC533" s="145"/>
      <c r="AD533" s="145"/>
      <c r="AE533" s="145"/>
      <c r="AF533" s="145"/>
      <c r="AG533" s="145"/>
      <c r="AH533" s="145"/>
      <c r="AI533" s="145"/>
      <c r="AJ533" s="145"/>
      <c r="AK533" s="145"/>
      <c r="AL533" s="145"/>
      <c r="AM533" s="145"/>
      <c r="AN533" s="145"/>
      <c r="AO533" s="145"/>
      <c r="AP533" s="145"/>
      <c r="AQ533" s="145"/>
      <c r="AR533" s="145"/>
      <c r="AS533" s="145"/>
      <c r="AT533" s="145"/>
      <c r="AU533" s="145"/>
      <c r="AV533" s="145"/>
      <c r="AW533" s="145"/>
      <c r="AX533" s="145"/>
      <c r="AY533" s="145"/>
      <c r="AZ533" s="145"/>
      <c r="BA533" s="145"/>
      <c r="BB533" s="146"/>
      <c r="BC533" s="183"/>
      <c r="BD533" s="183"/>
      <c r="BE533" s="146"/>
      <c r="BF533" s="145"/>
      <c r="BG533" s="145"/>
      <c r="BH533" s="145"/>
      <c r="BI533" s="145"/>
      <c r="BJ533" s="145"/>
      <c r="BK533" s="145"/>
    </row>
    <row r="534" spans="1:63" s="19" customFormat="1" ht="15" x14ac:dyDescent="0.25">
      <c r="A534" s="256" t="s">
        <v>579</v>
      </c>
      <c r="B534" s="257"/>
      <c r="C534" s="257"/>
      <c r="D534" s="257"/>
      <c r="E534" s="257"/>
      <c r="F534" s="257"/>
      <c r="G534" s="257"/>
      <c r="H534" s="257"/>
      <c r="I534" s="257"/>
      <c r="J534" s="257"/>
      <c r="K534" s="257"/>
      <c r="L534" s="257"/>
      <c r="M534" s="257"/>
      <c r="N534" s="257"/>
      <c r="O534" s="257"/>
      <c r="P534" s="258"/>
      <c r="Q534"/>
      <c r="R534"/>
      <c r="S534"/>
      <c r="T534"/>
      <c r="U534"/>
      <c r="V534"/>
      <c r="W534"/>
      <c r="X534"/>
      <c r="Y534"/>
      <c r="Z534"/>
      <c r="AA534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38" t="s">
        <v>50</v>
      </c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</row>
    <row r="535" spans="1:63" s="19" customFormat="1" ht="15" x14ac:dyDescent="0.25">
      <c r="A535" s="107" t="s">
        <v>51</v>
      </c>
      <c r="B535" s="108"/>
      <c r="C535" s="108"/>
      <c r="D535" s="108"/>
      <c r="E535" s="108"/>
      <c r="F535" s="108"/>
      <c r="G535" s="108"/>
      <c r="H535" s="108"/>
      <c r="I535" s="108"/>
      <c r="J535" s="108"/>
      <c r="K535" s="108"/>
      <c r="L535" s="108"/>
      <c r="M535" s="108"/>
      <c r="N535" s="108"/>
      <c r="O535" s="108"/>
      <c r="P535" s="109"/>
      <c r="Q535"/>
      <c r="R535"/>
      <c r="S535"/>
      <c r="T535"/>
      <c r="U535"/>
      <c r="V535"/>
      <c r="W535"/>
      <c r="X535"/>
      <c r="Y535"/>
      <c r="Z535"/>
      <c r="AA535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38"/>
      <c r="AW535" s="38" t="s">
        <v>51</v>
      </c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</row>
    <row r="536" spans="1:63" s="19" customFormat="1" ht="23.25" x14ac:dyDescent="0.25">
      <c r="A536" s="39" t="s">
        <v>643</v>
      </c>
      <c r="B536" s="97" t="s">
        <v>53</v>
      </c>
      <c r="C536" s="103" t="s">
        <v>54</v>
      </c>
      <c r="D536" s="103"/>
      <c r="E536" s="103"/>
      <c r="F536" s="103"/>
      <c r="G536" s="103"/>
      <c r="H536" s="41" t="s">
        <v>55</v>
      </c>
      <c r="I536" s="42">
        <v>0.17899999999999999</v>
      </c>
      <c r="J536" s="43">
        <v>1</v>
      </c>
      <c r="K536" s="42">
        <v>0.17899999999999999</v>
      </c>
      <c r="L536" s="45"/>
      <c r="M536" s="42"/>
      <c r="N536" s="45"/>
      <c r="O536" s="42"/>
      <c r="P536" s="46"/>
      <c r="Q536"/>
      <c r="R536"/>
      <c r="S536"/>
      <c r="T536"/>
      <c r="U536"/>
      <c r="V536"/>
      <c r="W536"/>
      <c r="X536"/>
      <c r="Y536"/>
      <c r="Z536"/>
      <c r="AA53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38"/>
      <c r="AW536" s="38"/>
      <c r="AX536" s="38" t="s">
        <v>54</v>
      </c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</row>
    <row r="537" spans="1:63" s="19" customFormat="1" ht="15" x14ac:dyDescent="0.25">
      <c r="A537" s="47"/>
      <c r="B537" s="48"/>
      <c r="C537" s="102" t="s">
        <v>56</v>
      </c>
      <c r="D537" s="102"/>
      <c r="E537" s="102"/>
      <c r="F537" s="102"/>
      <c r="G537" s="102"/>
      <c r="H537" s="41"/>
      <c r="I537" s="42"/>
      <c r="J537" s="42"/>
      <c r="K537" s="42"/>
      <c r="L537" s="45"/>
      <c r="M537" s="42"/>
      <c r="N537" s="49"/>
      <c r="O537" s="42"/>
      <c r="P537" s="50">
        <v>3911.55</v>
      </c>
      <c r="Q537" s="51"/>
      <c r="R537" s="51"/>
      <c r="S537"/>
      <c r="T537">
        <f>T1812</f>
        <v>0</v>
      </c>
      <c r="U537" s="50">
        <f>3401.35</f>
        <v>3401.35</v>
      </c>
      <c r="V537"/>
      <c r="X537"/>
      <c r="Y537"/>
      <c r="Z537"/>
      <c r="AA537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38"/>
      <c r="AW537" s="38"/>
      <c r="AX537" s="38"/>
      <c r="AY537" s="38" t="s">
        <v>56</v>
      </c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</row>
    <row r="538" spans="1:63" s="19" customFormat="1" ht="15" x14ac:dyDescent="0.25">
      <c r="A538" s="52"/>
      <c r="B538" s="53"/>
      <c r="C538" s="104" t="s">
        <v>57</v>
      </c>
      <c r="D538" s="104"/>
      <c r="E538" s="104"/>
      <c r="F538" s="104"/>
      <c r="G538" s="104"/>
      <c r="H538" s="54"/>
      <c r="I538" s="55"/>
      <c r="J538" s="55"/>
      <c r="K538" s="55"/>
      <c r="L538" s="56"/>
      <c r="M538" s="55"/>
      <c r="N538" s="56"/>
      <c r="O538" s="55"/>
      <c r="P538" s="77">
        <v>3212.38</v>
      </c>
      <c r="Q538"/>
      <c r="R538"/>
      <c r="S538"/>
      <c r="T538">
        <f>T1812</f>
        <v>0</v>
      </c>
      <c r="U538" s="57">
        <v>2793.37</v>
      </c>
      <c r="V538"/>
      <c r="W538" s="42"/>
      <c r="X538"/>
      <c r="Y538"/>
      <c r="Z538"/>
      <c r="AA538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38"/>
      <c r="AW538" s="38"/>
      <c r="AX538" s="38"/>
      <c r="AY538" s="38"/>
      <c r="AZ538" s="6" t="s">
        <v>57</v>
      </c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</row>
    <row r="539" spans="1:63" s="19" customFormat="1" ht="15" x14ac:dyDescent="0.25">
      <c r="A539" s="52"/>
      <c r="B539" s="53" t="s">
        <v>58</v>
      </c>
      <c r="C539" s="104" t="s">
        <v>59</v>
      </c>
      <c r="D539" s="104"/>
      <c r="E539" s="104"/>
      <c r="F539" s="104"/>
      <c r="G539" s="104"/>
      <c r="H539" s="54" t="s">
        <v>60</v>
      </c>
      <c r="I539" s="58">
        <v>100</v>
      </c>
      <c r="J539" s="55"/>
      <c r="K539" s="58">
        <v>100</v>
      </c>
      <c r="L539" s="56"/>
      <c r="M539" s="55"/>
      <c r="N539" s="56"/>
      <c r="O539" s="55"/>
      <c r="P539" s="77">
        <v>3212.38</v>
      </c>
      <c r="Q539"/>
      <c r="R539"/>
      <c r="S539"/>
      <c r="T539">
        <f>T1812</f>
        <v>0</v>
      </c>
      <c r="U539" s="57">
        <v>2793.37</v>
      </c>
      <c r="V539"/>
      <c r="W539" s="55"/>
      <c r="X539"/>
      <c r="Y539"/>
      <c r="Z539"/>
      <c r="AA539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38"/>
      <c r="AW539" s="38"/>
      <c r="AX539" s="38"/>
      <c r="AY539" s="38"/>
      <c r="AZ539" s="6" t="s">
        <v>59</v>
      </c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</row>
    <row r="540" spans="1:63" s="19" customFormat="1" ht="15" x14ac:dyDescent="0.25">
      <c r="A540" s="52"/>
      <c r="B540" s="53" t="s">
        <v>61</v>
      </c>
      <c r="C540" s="104" t="s">
        <v>62</v>
      </c>
      <c r="D540" s="104"/>
      <c r="E540" s="104"/>
      <c r="F540" s="104"/>
      <c r="G540" s="104"/>
      <c r="H540" s="54" t="s">
        <v>60</v>
      </c>
      <c r="I540" s="58">
        <v>49</v>
      </c>
      <c r="J540" s="55"/>
      <c r="K540" s="58">
        <v>49</v>
      </c>
      <c r="L540" s="56"/>
      <c r="M540" s="55"/>
      <c r="N540" s="56"/>
      <c r="O540" s="55"/>
      <c r="P540" s="77">
        <v>1574.06</v>
      </c>
      <c r="Q540"/>
      <c r="R540"/>
      <c r="S540"/>
      <c r="T540" s="79">
        <f t="shared" ref="T540" si="3">T1812</f>
        <v>0</v>
      </c>
      <c r="U540" s="57">
        <v>1368.75</v>
      </c>
      <c r="V540"/>
      <c r="W540" s="58"/>
      <c r="X540"/>
      <c r="Y540"/>
      <c r="Z540"/>
      <c r="AA540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38"/>
      <c r="AW540" s="38"/>
      <c r="AX540" s="38"/>
      <c r="AY540" s="38"/>
      <c r="AZ540" s="6" t="s">
        <v>62</v>
      </c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</row>
    <row r="541" spans="1:63" s="19" customFormat="1" ht="15" x14ac:dyDescent="0.25">
      <c r="A541" s="59"/>
      <c r="B541" s="98"/>
      <c r="C541" s="102" t="s">
        <v>63</v>
      </c>
      <c r="D541" s="102"/>
      <c r="E541" s="102"/>
      <c r="F541" s="102"/>
      <c r="G541" s="102"/>
      <c r="H541" s="41"/>
      <c r="I541" s="42"/>
      <c r="J541" s="42"/>
      <c r="K541" s="42"/>
      <c r="L541" s="45"/>
      <c r="M541" s="42"/>
      <c r="N541" s="49">
        <v>64479.71</v>
      </c>
      <c r="O541" s="42"/>
      <c r="P541" s="91">
        <v>8697.99</v>
      </c>
      <c r="Q541"/>
      <c r="R541"/>
      <c r="S541"/>
      <c r="T541">
        <f>T1812</f>
        <v>0</v>
      </c>
      <c r="U541" s="50">
        <f>7563.47*(K536/W541)</f>
        <v>7438.7974175824174</v>
      </c>
      <c r="V541"/>
      <c r="W541" s="42">
        <v>0.182</v>
      </c>
      <c r="X541"/>
      <c r="Y541"/>
      <c r="Z541"/>
      <c r="AA541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38"/>
      <c r="AW541" s="38"/>
      <c r="AX541" s="38"/>
      <c r="AY541" s="38"/>
      <c r="AZ541" s="6"/>
      <c r="BA541" s="38" t="s">
        <v>63</v>
      </c>
      <c r="BB541" s="6"/>
      <c r="BC541" s="6"/>
      <c r="BD541" s="6"/>
      <c r="BE541" s="6"/>
      <c r="BF541" s="6"/>
      <c r="BG541" s="6"/>
      <c r="BH541" s="6"/>
      <c r="BI541" s="6"/>
      <c r="BJ541" s="6"/>
      <c r="BK541" s="6"/>
    </row>
    <row r="542" spans="1:63" s="19" customFormat="1" ht="23.25" x14ac:dyDescent="0.25">
      <c r="A542" s="39" t="s">
        <v>644</v>
      </c>
      <c r="B542" s="97" t="s">
        <v>65</v>
      </c>
      <c r="C542" s="103" t="s">
        <v>66</v>
      </c>
      <c r="D542" s="103"/>
      <c r="E542" s="103"/>
      <c r="F542" s="103"/>
      <c r="G542" s="103"/>
      <c r="H542" s="41" t="s">
        <v>67</v>
      </c>
      <c r="I542" s="42">
        <f>2.5806*1.5</f>
        <v>3.8708999999999998</v>
      </c>
      <c r="J542" s="43">
        <v>1</v>
      </c>
      <c r="K542" s="44">
        <f>I542</f>
        <v>3.8708999999999998</v>
      </c>
      <c r="L542" s="61">
        <v>68.290000000000006</v>
      </c>
      <c r="M542" s="62">
        <v>1.72</v>
      </c>
      <c r="N542" s="61">
        <v>117.46</v>
      </c>
      <c r="O542" s="42"/>
      <c r="P542" s="50">
        <v>522.88</v>
      </c>
      <c r="Q542"/>
      <c r="R542"/>
      <c r="S542"/>
      <c r="T542" s="79">
        <f>T1812</f>
        <v>0</v>
      </c>
      <c r="U542" s="63">
        <f>U543</f>
        <v>454.68</v>
      </c>
      <c r="V542"/>
      <c r="W542" s="42"/>
      <c r="X542"/>
      <c r="Y542"/>
      <c r="Z542"/>
      <c r="AA542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38"/>
      <c r="AW542" s="38"/>
      <c r="AX542" s="38" t="s">
        <v>66</v>
      </c>
      <c r="AY542" s="38"/>
      <c r="AZ542" s="6"/>
      <c r="BA542" s="38"/>
      <c r="BB542" s="6"/>
      <c r="BC542" s="6"/>
      <c r="BD542" s="6"/>
      <c r="BE542" s="6"/>
      <c r="BF542" s="6"/>
      <c r="BG542" s="6"/>
      <c r="BH542" s="6"/>
      <c r="BI542" s="6"/>
      <c r="BJ542" s="6"/>
      <c r="BK542" s="6"/>
    </row>
    <row r="543" spans="1:63" s="19" customFormat="1" ht="15" x14ac:dyDescent="0.25">
      <c r="A543" s="59"/>
      <c r="B543" s="98"/>
      <c r="C543" s="102" t="s">
        <v>63</v>
      </c>
      <c r="D543" s="102"/>
      <c r="E543" s="102"/>
      <c r="F543" s="102"/>
      <c r="G543" s="102"/>
      <c r="H543" s="41"/>
      <c r="I543" s="42"/>
      <c r="J543" s="42"/>
      <c r="K543" s="42"/>
      <c r="L543" s="45"/>
      <c r="M543" s="42"/>
      <c r="N543" s="45"/>
      <c r="O543" s="42"/>
      <c r="P543" s="50">
        <v>522.88</v>
      </c>
      <c r="Q543"/>
      <c r="R543"/>
      <c r="S543"/>
      <c r="T543" s="79">
        <f>T1812</f>
        <v>0</v>
      </c>
      <c r="U543" s="63">
        <f>303.12*(K542/W543)</f>
        <v>454.68</v>
      </c>
      <c r="V543"/>
      <c r="W543" s="44">
        <v>2.5806</v>
      </c>
      <c r="X543"/>
      <c r="Y543"/>
      <c r="Z543"/>
      <c r="AA543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38"/>
      <c r="AW543" s="38"/>
      <c r="AX543" s="38"/>
      <c r="AY543" s="38"/>
      <c r="AZ543" s="6"/>
      <c r="BA543" s="38" t="s">
        <v>63</v>
      </c>
      <c r="BB543" s="6"/>
      <c r="BC543" s="6"/>
      <c r="BD543" s="6"/>
      <c r="BE543" s="6"/>
      <c r="BF543" s="6"/>
      <c r="BG543" s="6"/>
      <c r="BH543" s="6"/>
      <c r="BI543" s="6"/>
      <c r="BJ543" s="6"/>
      <c r="BK543" s="6"/>
    </row>
    <row r="544" spans="1:63" s="19" customFormat="1" ht="15" x14ac:dyDescent="0.25">
      <c r="A544" s="39" t="s">
        <v>645</v>
      </c>
      <c r="B544" s="97" t="s">
        <v>69</v>
      </c>
      <c r="C544" s="103" t="s">
        <v>70</v>
      </c>
      <c r="D544" s="103"/>
      <c r="E544" s="103"/>
      <c r="F544" s="103"/>
      <c r="G544" s="103"/>
      <c r="H544" s="41" t="s">
        <v>71</v>
      </c>
      <c r="I544" s="42">
        <f>0.0038709*1.5</f>
        <v>5.8063500000000001E-3</v>
      </c>
      <c r="J544" s="43">
        <v>1</v>
      </c>
      <c r="K544" s="64">
        <f>I544</f>
        <v>5.8063500000000001E-3</v>
      </c>
      <c r="L544" s="49">
        <v>52265.82</v>
      </c>
      <c r="M544" s="62">
        <v>1.81</v>
      </c>
      <c r="N544" s="49">
        <v>94601.13</v>
      </c>
      <c r="O544" s="42"/>
      <c r="P544" s="50">
        <v>631.67999999999995</v>
      </c>
      <c r="Q544"/>
      <c r="R544"/>
      <c r="S544"/>
      <c r="T544" s="79">
        <f>T1812</f>
        <v>0</v>
      </c>
      <c r="U544" s="63">
        <f>366.19*(K544/W545)</f>
        <v>549.28499999999997</v>
      </c>
      <c r="V544"/>
      <c r="W544" s="42"/>
      <c r="X544"/>
      <c r="Y544"/>
      <c r="Z544"/>
      <c r="AA544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38"/>
      <c r="AW544" s="38"/>
      <c r="AX544" s="38" t="s">
        <v>70</v>
      </c>
      <c r="AY544" s="38"/>
      <c r="AZ544" s="6"/>
      <c r="BA544" s="38"/>
      <c r="BB544" s="6"/>
      <c r="BC544" s="6"/>
      <c r="BD544" s="6"/>
      <c r="BE544" s="6"/>
      <c r="BF544" s="6"/>
      <c r="BG544" s="6"/>
      <c r="BH544" s="6"/>
      <c r="BI544" s="6"/>
      <c r="BJ544" s="6"/>
      <c r="BK544" s="6"/>
    </row>
    <row r="545" spans="1:63" s="19" customFormat="1" ht="15" x14ac:dyDescent="0.25">
      <c r="A545" s="59"/>
      <c r="B545" s="98"/>
      <c r="C545" s="102" t="s">
        <v>63</v>
      </c>
      <c r="D545" s="102"/>
      <c r="E545" s="102"/>
      <c r="F545" s="102"/>
      <c r="G545" s="102"/>
      <c r="H545" s="41"/>
      <c r="I545" s="42"/>
      <c r="J545" s="42"/>
      <c r="K545" s="42"/>
      <c r="L545" s="45"/>
      <c r="M545" s="42"/>
      <c r="N545" s="45"/>
      <c r="O545" s="42"/>
      <c r="P545" s="50">
        <v>631.67999999999995</v>
      </c>
      <c r="Q545"/>
      <c r="R545"/>
      <c r="S545"/>
      <c r="T545" s="79">
        <f>T1812</f>
        <v>0</v>
      </c>
      <c r="U545" s="63">
        <f>U544</f>
        <v>549.28499999999997</v>
      </c>
      <c r="V545"/>
      <c r="W545" s="64">
        <v>3.8709E-3</v>
      </c>
      <c r="X545"/>
      <c r="Y545"/>
      <c r="Z545"/>
      <c r="AA545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38"/>
      <c r="AW545" s="38"/>
      <c r="AX545" s="38"/>
      <c r="AY545" s="38"/>
      <c r="AZ545" s="6"/>
      <c r="BA545" s="38" t="s">
        <v>63</v>
      </c>
      <c r="BB545" s="6"/>
      <c r="BC545" s="6"/>
      <c r="BD545" s="6"/>
      <c r="BE545" s="6"/>
      <c r="BF545" s="6"/>
      <c r="BG545" s="6"/>
      <c r="BH545" s="6"/>
      <c r="BI545" s="6"/>
      <c r="BJ545" s="6"/>
      <c r="BK545" s="6"/>
    </row>
    <row r="546" spans="1:63" s="19" customFormat="1" ht="15" x14ac:dyDescent="0.25">
      <c r="A546" s="39" t="s">
        <v>646</v>
      </c>
      <c r="B546" s="97" t="s">
        <v>73</v>
      </c>
      <c r="C546" s="103" t="s">
        <v>74</v>
      </c>
      <c r="D546" s="103"/>
      <c r="E546" s="103"/>
      <c r="F546" s="103"/>
      <c r="G546" s="103"/>
      <c r="H546" s="41" t="s">
        <v>75</v>
      </c>
      <c r="I546" s="42">
        <v>0.03</v>
      </c>
      <c r="J546" s="43">
        <v>1</v>
      </c>
      <c r="K546" s="62">
        <v>0.03</v>
      </c>
      <c r="L546" s="45"/>
      <c r="M546" s="42"/>
      <c r="N546" s="45"/>
      <c r="O546" s="42"/>
      <c r="P546" s="50"/>
      <c r="Q546"/>
      <c r="R546"/>
      <c r="S546"/>
      <c r="T546" s="79">
        <f>T1812</f>
        <v>0</v>
      </c>
      <c r="U546" s="46"/>
      <c r="V546"/>
      <c r="W546" s="42"/>
      <c r="X546"/>
      <c r="Y546"/>
      <c r="Z546"/>
      <c r="AA54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38"/>
      <c r="AW546" s="38"/>
      <c r="AX546" s="38" t="s">
        <v>74</v>
      </c>
      <c r="AY546" s="38"/>
      <c r="AZ546" s="6"/>
      <c r="BA546" s="38"/>
      <c r="BB546" s="6"/>
      <c r="BC546" s="6"/>
      <c r="BD546" s="6"/>
      <c r="BE546" s="6"/>
      <c r="BF546" s="6"/>
      <c r="BG546" s="6"/>
      <c r="BH546" s="6"/>
      <c r="BI546" s="6"/>
      <c r="BJ546" s="6"/>
      <c r="BK546" s="6"/>
    </row>
    <row r="547" spans="1:63" s="19" customFormat="1" ht="15" x14ac:dyDescent="0.25">
      <c r="A547" s="47"/>
      <c r="B547" s="48"/>
      <c r="C547" s="102" t="s">
        <v>56</v>
      </c>
      <c r="D547" s="102"/>
      <c r="E547" s="102"/>
      <c r="F547" s="102"/>
      <c r="G547" s="102"/>
      <c r="H547" s="41"/>
      <c r="I547" s="42"/>
      <c r="J547" s="42"/>
      <c r="K547" s="42"/>
      <c r="L547" s="45"/>
      <c r="M547" s="42"/>
      <c r="N547" s="49"/>
      <c r="O547" s="42"/>
      <c r="P547" s="50">
        <v>1555.34</v>
      </c>
      <c r="Q547" s="51"/>
      <c r="R547" s="51"/>
      <c r="S547"/>
      <c r="T547" s="79">
        <f>T1812</f>
        <v>0</v>
      </c>
      <c r="U547" s="50">
        <v>1352.47</v>
      </c>
      <c r="V547"/>
      <c r="W547" s="62">
        <v>0.02</v>
      </c>
      <c r="X547"/>
      <c r="Y547"/>
      <c r="Z547"/>
      <c r="AA547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38"/>
      <c r="AW547" s="38"/>
      <c r="AX547" s="38"/>
      <c r="AY547" s="38" t="s">
        <v>56</v>
      </c>
      <c r="AZ547" s="6"/>
      <c r="BA547" s="38"/>
      <c r="BB547" s="6"/>
      <c r="BC547" s="6"/>
      <c r="BD547" s="6"/>
      <c r="BE547" s="6"/>
      <c r="BF547" s="6"/>
      <c r="BG547" s="6"/>
      <c r="BH547" s="6"/>
      <c r="BI547" s="6"/>
      <c r="BJ547" s="6"/>
      <c r="BK547" s="6"/>
    </row>
    <row r="548" spans="1:63" s="19" customFormat="1" ht="15" x14ac:dyDescent="0.25">
      <c r="A548" s="52"/>
      <c r="B548" s="53"/>
      <c r="C548" s="104" t="s">
        <v>57</v>
      </c>
      <c r="D548" s="104"/>
      <c r="E548" s="104"/>
      <c r="F548" s="104"/>
      <c r="G548" s="104"/>
      <c r="H548" s="54"/>
      <c r="I548" s="55"/>
      <c r="J548" s="55"/>
      <c r="K548" s="55"/>
      <c r="L548" s="56"/>
      <c r="M548" s="55"/>
      <c r="N548" s="56"/>
      <c r="O548" s="55"/>
      <c r="P548" s="77">
        <v>1555.25</v>
      </c>
      <c r="Q548"/>
      <c r="R548"/>
      <c r="S548"/>
      <c r="T548" s="79">
        <f>T1812</f>
        <v>0</v>
      </c>
      <c r="U548" s="57">
        <v>1352.39</v>
      </c>
      <c r="V548"/>
      <c r="W548" s="42"/>
      <c r="X548"/>
      <c r="Y548"/>
      <c r="Z548"/>
      <c r="AA548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38"/>
      <c r="AW548" s="38"/>
      <c r="AX548" s="38"/>
      <c r="AY548" s="38"/>
      <c r="AZ548" s="6" t="s">
        <v>57</v>
      </c>
      <c r="BA548" s="38"/>
      <c r="BB548" s="6"/>
      <c r="BC548" s="6"/>
      <c r="BD548" s="6"/>
      <c r="BE548" s="6"/>
      <c r="BF548" s="6"/>
      <c r="BG548" s="6"/>
      <c r="BH548" s="6"/>
      <c r="BI548" s="6"/>
      <c r="BJ548" s="6"/>
      <c r="BK548" s="6"/>
    </row>
    <row r="549" spans="1:63" s="19" customFormat="1" ht="15" x14ac:dyDescent="0.25">
      <c r="A549" s="52"/>
      <c r="B549" s="53" t="s">
        <v>76</v>
      </c>
      <c r="C549" s="104" t="s">
        <v>77</v>
      </c>
      <c r="D549" s="104"/>
      <c r="E549" s="104"/>
      <c r="F549" s="104"/>
      <c r="G549" s="104"/>
      <c r="H549" s="54" t="s">
        <v>60</v>
      </c>
      <c r="I549" s="58">
        <v>91</v>
      </c>
      <c r="J549" s="55"/>
      <c r="K549" s="58">
        <v>91</v>
      </c>
      <c r="L549" s="56"/>
      <c r="M549" s="55"/>
      <c r="N549" s="56"/>
      <c r="O549" s="55"/>
      <c r="P549" s="77">
        <v>1415.27</v>
      </c>
      <c r="Q549"/>
      <c r="R549"/>
      <c r="S549"/>
      <c r="T549" s="79">
        <f>T1812</f>
        <v>0</v>
      </c>
      <c r="U549" s="57">
        <v>1230.67</v>
      </c>
      <c r="V549"/>
      <c r="W549" s="55"/>
      <c r="X549"/>
      <c r="Y549"/>
      <c r="Z549"/>
      <c r="AA549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38"/>
      <c r="AW549" s="38"/>
      <c r="AX549" s="38"/>
      <c r="AY549" s="38"/>
      <c r="AZ549" s="6" t="s">
        <v>77</v>
      </c>
      <c r="BA549" s="38"/>
      <c r="BB549" s="6"/>
      <c r="BC549" s="6"/>
      <c r="BD549" s="6"/>
      <c r="BE549" s="6"/>
      <c r="BF549" s="6"/>
      <c r="BG549" s="6"/>
      <c r="BH549" s="6"/>
      <c r="BI549" s="6"/>
      <c r="BJ549" s="6"/>
      <c r="BK549" s="6"/>
    </row>
    <row r="550" spans="1:63" s="19" customFormat="1" ht="15" x14ac:dyDescent="0.25">
      <c r="A550" s="52"/>
      <c r="B550" s="53" t="s">
        <v>78</v>
      </c>
      <c r="C550" s="104" t="s">
        <v>79</v>
      </c>
      <c r="D550" s="104"/>
      <c r="E550" s="104"/>
      <c r="F550" s="104"/>
      <c r="G550" s="104"/>
      <c r="H550" s="54" t="s">
        <v>60</v>
      </c>
      <c r="I550" s="58">
        <v>48</v>
      </c>
      <c r="J550" s="55"/>
      <c r="K550" s="58">
        <v>48</v>
      </c>
      <c r="L550" s="56"/>
      <c r="M550" s="55"/>
      <c r="N550" s="56"/>
      <c r="O550" s="55"/>
      <c r="P550" s="77">
        <v>746.52249999999992</v>
      </c>
      <c r="Q550"/>
      <c r="R550"/>
      <c r="S550"/>
      <c r="T550" s="79">
        <f>T1812</f>
        <v>0</v>
      </c>
      <c r="U550" s="65">
        <v>649.15</v>
      </c>
      <c r="V550"/>
      <c r="W550" s="58">
        <v>91</v>
      </c>
      <c r="X550"/>
      <c r="Y550"/>
      <c r="Z550"/>
      <c r="AA550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38"/>
      <c r="AW550" s="38"/>
      <c r="AX550" s="38"/>
      <c r="AY550" s="38"/>
      <c r="AZ550" s="6" t="s">
        <v>79</v>
      </c>
      <c r="BA550" s="38"/>
      <c r="BB550" s="6"/>
      <c r="BC550" s="6"/>
      <c r="BD550" s="6"/>
      <c r="BE550" s="6"/>
      <c r="BF550" s="6"/>
      <c r="BG550" s="6"/>
      <c r="BH550" s="6"/>
      <c r="BI550" s="6"/>
      <c r="BJ550" s="6"/>
      <c r="BK550" s="6"/>
    </row>
    <row r="551" spans="1:63" s="19" customFormat="1" ht="15" x14ac:dyDescent="0.25">
      <c r="A551" s="59"/>
      <c r="B551" s="98"/>
      <c r="C551" s="102" t="s">
        <v>63</v>
      </c>
      <c r="D551" s="102"/>
      <c r="E551" s="102"/>
      <c r="F551" s="102"/>
      <c r="G551" s="102"/>
      <c r="H551" s="41"/>
      <c r="I551" s="42"/>
      <c r="J551" s="42"/>
      <c r="K551" s="42"/>
      <c r="L551" s="45"/>
      <c r="M551" s="42"/>
      <c r="N551" s="49">
        <v>161614.5</v>
      </c>
      <c r="O551" s="42"/>
      <c r="P551" s="50">
        <v>3717.1334999999995</v>
      </c>
      <c r="Q551"/>
      <c r="R551"/>
      <c r="S551"/>
      <c r="T551" s="79">
        <f>T1812</f>
        <v>0</v>
      </c>
      <c r="U551" s="50">
        <f>3232.29*(W547/K546)</f>
        <v>2154.86</v>
      </c>
      <c r="V551"/>
      <c r="W551" s="58">
        <v>48</v>
      </c>
      <c r="X551"/>
      <c r="Y551"/>
      <c r="Z551"/>
      <c r="AA551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38"/>
      <c r="AW551" s="38"/>
      <c r="AX551" s="38"/>
      <c r="AY551" s="38"/>
      <c r="AZ551" s="6"/>
      <c r="BA551" s="38" t="s">
        <v>63</v>
      </c>
      <c r="BB551" s="6"/>
      <c r="BC551" s="6"/>
      <c r="BD551" s="6"/>
      <c r="BE551" s="6"/>
      <c r="BF551" s="6"/>
      <c r="BG551" s="6"/>
      <c r="BH551" s="6"/>
      <c r="BI551" s="6"/>
      <c r="BJ551" s="6"/>
      <c r="BK551" s="6"/>
    </row>
    <row r="552" spans="1:63" s="19" customFormat="1" ht="34.5" x14ac:dyDescent="0.25">
      <c r="A552" s="39" t="s">
        <v>647</v>
      </c>
      <c r="B552" s="97" t="s">
        <v>81</v>
      </c>
      <c r="C552" s="103" t="s">
        <v>82</v>
      </c>
      <c r="D552" s="103"/>
      <c r="E552" s="103"/>
      <c r="F552" s="103"/>
      <c r="G552" s="103"/>
      <c r="H552" s="41" t="s">
        <v>83</v>
      </c>
      <c r="I552" s="42">
        <v>3</v>
      </c>
      <c r="J552" s="43">
        <v>1</v>
      </c>
      <c r="K552" s="43">
        <v>3</v>
      </c>
      <c r="L552" s="49">
        <v>3579.75</v>
      </c>
      <c r="M552" s="62">
        <v>1.41</v>
      </c>
      <c r="N552" s="49">
        <v>5047.45</v>
      </c>
      <c r="O552" s="42"/>
      <c r="P552" s="50">
        <v>11609.134999999998</v>
      </c>
      <c r="Q552"/>
      <c r="R552"/>
      <c r="S552"/>
      <c r="T552">
        <f>T1812</f>
        <v>0</v>
      </c>
      <c r="U552" s="50">
        <f>U553</f>
        <v>15142.349999999999</v>
      </c>
      <c r="V552"/>
      <c r="W552" s="42"/>
      <c r="X552"/>
      <c r="Y552"/>
      <c r="Z552"/>
      <c r="AA552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38"/>
      <c r="AW552" s="38"/>
      <c r="AX552" s="38" t="s">
        <v>82</v>
      </c>
      <c r="AY552" s="38"/>
      <c r="AZ552" s="6"/>
      <c r="BA552" s="38"/>
      <c r="BB552" s="6"/>
      <c r="BC552" s="6"/>
      <c r="BD552" s="6"/>
      <c r="BE552" s="6"/>
      <c r="BF552" s="6"/>
      <c r="BG552" s="6"/>
      <c r="BH552" s="6"/>
      <c r="BI552" s="6"/>
      <c r="BJ552" s="6"/>
      <c r="BK552" s="6"/>
    </row>
    <row r="553" spans="1:63" s="19" customFormat="1" ht="15" x14ac:dyDescent="0.25">
      <c r="A553" s="59"/>
      <c r="B553" s="98"/>
      <c r="C553" s="102" t="s">
        <v>63</v>
      </c>
      <c r="D553" s="102"/>
      <c r="E553" s="102"/>
      <c r="F553" s="102"/>
      <c r="G553" s="102"/>
      <c r="H553" s="41"/>
      <c r="I553" s="42"/>
      <c r="J553" s="42"/>
      <c r="K553" s="42"/>
      <c r="L553" s="45"/>
      <c r="M553" s="42"/>
      <c r="N553" s="45"/>
      <c r="O553" s="42"/>
      <c r="P553" s="50">
        <v>11609.134999999998</v>
      </c>
      <c r="Q553"/>
      <c r="R553"/>
      <c r="S553"/>
      <c r="T553">
        <f>T1812</f>
        <v>0</v>
      </c>
      <c r="U553" s="50">
        <f>10094.9*(K552/W553)</f>
        <v>15142.349999999999</v>
      </c>
      <c r="V553"/>
      <c r="W553" s="43">
        <v>2</v>
      </c>
      <c r="X553"/>
      <c r="Y553"/>
      <c r="Z553"/>
      <c r="AA553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38"/>
      <c r="AW553" s="38"/>
      <c r="AX553" s="38"/>
      <c r="AY553" s="38"/>
      <c r="AZ553" s="6"/>
      <c r="BA553" s="38" t="s">
        <v>63</v>
      </c>
      <c r="BB553" s="6"/>
      <c r="BC553" s="6"/>
      <c r="BD553" s="6"/>
      <c r="BE553" s="6"/>
      <c r="BF553" s="6"/>
      <c r="BG553" s="6"/>
      <c r="BH553" s="6"/>
      <c r="BI553" s="6"/>
      <c r="BJ553" s="6"/>
      <c r="BK553" s="6"/>
    </row>
    <row r="554" spans="1:63" s="19" customFormat="1" ht="15" x14ac:dyDescent="0.25">
      <c r="A554" s="39" t="s">
        <v>648</v>
      </c>
      <c r="B554" s="97" t="s">
        <v>85</v>
      </c>
      <c r="C554" s="103" t="s">
        <v>86</v>
      </c>
      <c r="D554" s="103"/>
      <c r="E554" s="103"/>
      <c r="F554" s="103"/>
      <c r="G554" s="103"/>
      <c r="H554" s="41" t="s">
        <v>75</v>
      </c>
      <c r="I554" s="42">
        <v>0.02</v>
      </c>
      <c r="J554" s="43">
        <v>1</v>
      </c>
      <c r="K554" s="62">
        <v>0.02</v>
      </c>
      <c r="L554" s="45"/>
      <c r="M554" s="42"/>
      <c r="N554" s="45"/>
      <c r="O554" s="42"/>
      <c r="P554" s="50"/>
      <c r="Q554"/>
      <c r="R554"/>
      <c r="S554"/>
      <c r="T554">
        <f>T1812</f>
        <v>0</v>
      </c>
      <c r="U554" s="46"/>
      <c r="V554"/>
      <c r="W554" s="42"/>
      <c r="X554"/>
      <c r="Y554"/>
      <c r="Z554"/>
      <c r="AA554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38"/>
      <c r="AW554" s="38"/>
      <c r="AX554" s="38" t="s">
        <v>86</v>
      </c>
      <c r="AY554" s="38"/>
      <c r="AZ554" s="6"/>
      <c r="BA554" s="38"/>
      <c r="BB554" s="6"/>
      <c r="BC554" s="6"/>
      <c r="BD554" s="6"/>
      <c r="BE554" s="6"/>
      <c r="BF554" s="6"/>
      <c r="BG554" s="6"/>
      <c r="BH554" s="6"/>
      <c r="BI554" s="6"/>
      <c r="BJ554" s="6"/>
      <c r="BK554" s="6"/>
    </row>
    <row r="555" spans="1:63" s="19" customFormat="1" ht="15" x14ac:dyDescent="0.25">
      <c r="A555" s="47"/>
      <c r="B555" s="48"/>
      <c r="C555" s="102" t="s">
        <v>56</v>
      </c>
      <c r="D555" s="102"/>
      <c r="E555" s="102"/>
      <c r="F555" s="102"/>
      <c r="G555" s="102"/>
      <c r="H555" s="41"/>
      <c r="I555" s="42"/>
      <c r="J555" s="42"/>
      <c r="K555" s="42"/>
      <c r="L555" s="45"/>
      <c r="M555" s="42"/>
      <c r="N555" s="49"/>
      <c r="O555" s="42"/>
      <c r="P555" s="50">
        <v>216.5795</v>
      </c>
      <c r="Q555" s="51"/>
      <c r="R555" s="51"/>
      <c r="S555"/>
      <c r="T555">
        <f>T1812</f>
        <v>0</v>
      </c>
      <c r="U555" s="50">
        <v>188.33</v>
      </c>
      <c r="V555"/>
      <c r="W555" s="62">
        <v>0.02</v>
      </c>
      <c r="X555"/>
      <c r="Y555"/>
      <c r="Z555"/>
      <c r="AA555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38"/>
      <c r="AW555" s="38"/>
      <c r="AX555" s="38"/>
      <c r="AY555" s="38" t="s">
        <v>56</v>
      </c>
      <c r="AZ555" s="6"/>
      <c r="BA555" s="38"/>
      <c r="BB555" s="6"/>
      <c r="BC555" s="6"/>
      <c r="BD555" s="6"/>
      <c r="BE555" s="6"/>
      <c r="BF555" s="6"/>
      <c r="BG555" s="6"/>
      <c r="BH555" s="6"/>
      <c r="BI555" s="6"/>
      <c r="BJ555" s="6"/>
      <c r="BK555" s="6"/>
    </row>
    <row r="556" spans="1:63" s="19" customFormat="1" ht="15" x14ac:dyDescent="0.25">
      <c r="A556" s="52"/>
      <c r="B556" s="53"/>
      <c r="C556" s="104" t="s">
        <v>57</v>
      </c>
      <c r="D556" s="104"/>
      <c r="E556" s="104"/>
      <c r="F556" s="104"/>
      <c r="G556" s="104"/>
      <c r="H556" s="54"/>
      <c r="I556" s="55"/>
      <c r="J556" s="55"/>
      <c r="K556" s="55"/>
      <c r="L556" s="56"/>
      <c r="M556" s="55"/>
      <c r="N556" s="56"/>
      <c r="O556" s="55"/>
      <c r="P556" s="77">
        <v>216.5795</v>
      </c>
      <c r="Q556"/>
      <c r="R556"/>
      <c r="S556"/>
      <c r="T556">
        <f>T1812</f>
        <v>0</v>
      </c>
      <c r="U556" s="65">
        <v>188.33</v>
      </c>
      <c r="V556"/>
      <c r="W556" s="42"/>
      <c r="X556"/>
      <c r="Y556"/>
      <c r="Z556"/>
      <c r="AA55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38"/>
      <c r="AW556" s="38"/>
      <c r="AX556" s="38"/>
      <c r="AY556" s="38"/>
      <c r="AZ556" s="6" t="s">
        <v>57</v>
      </c>
      <c r="BA556" s="38"/>
      <c r="BB556" s="6"/>
      <c r="BC556" s="6"/>
      <c r="BD556" s="6"/>
      <c r="BE556" s="6"/>
      <c r="BF556" s="6"/>
      <c r="BG556" s="6"/>
      <c r="BH556" s="6"/>
      <c r="BI556" s="6"/>
      <c r="BJ556" s="6"/>
      <c r="BK556" s="6"/>
    </row>
    <row r="557" spans="1:63" s="19" customFormat="1" ht="15" x14ac:dyDescent="0.25">
      <c r="A557" s="52"/>
      <c r="B557" s="53" t="s">
        <v>76</v>
      </c>
      <c r="C557" s="104" t="s">
        <v>77</v>
      </c>
      <c r="D557" s="104"/>
      <c r="E557" s="104"/>
      <c r="F557" s="104"/>
      <c r="G557" s="104"/>
      <c r="H557" s="54" t="s">
        <v>60</v>
      </c>
      <c r="I557" s="58">
        <v>91</v>
      </c>
      <c r="J557" s="55"/>
      <c r="K557" s="58">
        <v>91</v>
      </c>
      <c r="L557" s="56"/>
      <c r="M557" s="55"/>
      <c r="N557" s="56"/>
      <c r="O557" s="55"/>
      <c r="P557" s="77">
        <v>197.08699999999999</v>
      </c>
      <c r="Q557"/>
      <c r="R557"/>
      <c r="S557"/>
      <c r="T557">
        <f>T1812</f>
        <v>0</v>
      </c>
      <c r="U557" s="65">
        <v>171.38</v>
      </c>
      <c r="V557"/>
      <c r="W557" s="55"/>
      <c r="X557"/>
      <c r="Y557"/>
      <c r="Z557"/>
      <c r="AA557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38"/>
      <c r="AW557" s="38"/>
      <c r="AX557" s="38"/>
      <c r="AY557" s="38"/>
      <c r="AZ557" s="6" t="s">
        <v>77</v>
      </c>
      <c r="BA557" s="38"/>
      <c r="BB557" s="6"/>
      <c r="BC557" s="6"/>
      <c r="BD557" s="6"/>
      <c r="BE557" s="6"/>
      <c r="BF557" s="6"/>
      <c r="BG557" s="6"/>
      <c r="BH557" s="6"/>
      <c r="BI557" s="6"/>
      <c r="BJ557" s="6"/>
      <c r="BK557" s="6"/>
    </row>
    <row r="558" spans="1:63" s="19" customFormat="1" ht="15" x14ac:dyDescent="0.25">
      <c r="A558" s="52"/>
      <c r="B558" s="53" t="s">
        <v>78</v>
      </c>
      <c r="C558" s="104" t="s">
        <v>79</v>
      </c>
      <c r="D558" s="104"/>
      <c r="E558" s="104"/>
      <c r="F558" s="104"/>
      <c r="G558" s="104"/>
      <c r="H558" s="54" t="s">
        <v>60</v>
      </c>
      <c r="I558" s="58">
        <v>48</v>
      </c>
      <c r="J558" s="55"/>
      <c r="K558" s="58">
        <v>48</v>
      </c>
      <c r="L558" s="56"/>
      <c r="M558" s="55"/>
      <c r="N558" s="56"/>
      <c r="O558" s="55"/>
      <c r="P558" s="77">
        <v>103.96</v>
      </c>
      <c r="Q558"/>
      <c r="R558"/>
      <c r="S558"/>
      <c r="T558">
        <f>T1812</f>
        <v>0</v>
      </c>
      <c r="U558" s="65">
        <v>90.4</v>
      </c>
      <c r="V558"/>
      <c r="W558" s="58">
        <v>91</v>
      </c>
      <c r="X558"/>
      <c r="Y558"/>
      <c r="Z558"/>
      <c r="AA558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38"/>
      <c r="AW558" s="38"/>
      <c r="AX558" s="38"/>
      <c r="AY558" s="38"/>
      <c r="AZ558" s="6" t="s">
        <v>79</v>
      </c>
      <c r="BA558" s="38"/>
      <c r="BB558" s="6"/>
      <c r="BC558" s="6"/>
      <c r="BD558" s="6"/>
      <c r="BE558" s="6"/>
      <c r="BF558" s="6"/>
      <c r="BG558" s="6"/>
      <c r="BH558" s="6"/>
      <c r="BI558" s="6"/>
      <c r="BJ558" s="6"/>
      <c r="BK558" s="6"/>
    </row>
    <row r="559" spans="1:63" s="19" customFormat="1" ht="15" x14ac:dyDescent="0.25">
      <c r="A559" s="59"/>
      <c r="B559" s="98"/>
      <c r="C559" s="102" t="s">
        <v>63</v>
      </c>
      <c r="D559" s="102"/>
      <c r="E559" s="102"/>
      <c r="F559" s="102"/>
      <c r="G559" s="102"/>
      <c r="H559" s="41"/>
      <c r="I559" s="42"/>
      <c r="J559" s="42"/>
      <c r="K559" s="42"/>
      <c r="L559" s="45"/>
      <c r="M559" s="42"/>
      <c r="N559" s="49">
        <v>22505.5</v>
      </c>
      <c r="O559" s="42"/>
      <c r="P559" s="50">
        <v>517.62649999999996</v>
      </c>
      <c r="Q559"/>
      <c r="R559"/>
      <c r="S559"/>
      <c r="T559">
        <f>T1812</f>
        <v>0</v>
      </c>
      <c r="U559" s="63">
        <f>450.11*(K554/W555)</f>
        <v>450.11</v>
      </c>
      <c r="V559"/>
      <c r="W559" s="58">
        <v>48</v>
      </c>
      <c r="X559"/>
      <c r="Y559"/>
      <c r="Z559"/>
      <c r="AA559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38"/>
      <c r="AW559" s="38"/>
      <c r="AX559" s="38"/>
      <c r="AY559" s="38"/>
      <c r="AZ559" s="6"/>
      <c r="BA559" s="38" t="s">
        <v>63</v>
      </c>
      <c r="BB559" s="6"/>
      <c r="BC559" s="6"/>
      <c r="BD559" s="6"/>
      <c r="BE559" s="6"/>
      <c r="BF559" s="6"/>
      <c r="BG559" s="6"/>
      <c r="BH559" s="6"/>
      <c r="BI559" s="6"/>
      <c r="BJ559" s="6"/>
      <c r="BK559" s="6"/>
    </row>
    <row r="560" spans="1:63" s="19" customFormat="1" ht="23.25" x14ac:dyDescent="0.25">
      <c r="A560" s="39" t="s">
        <v>649</v>
      </c>
      <c r="B560" s="97" t="s">
        <v>88</v>
      </c>
      <c r="C560" s="103" t="s">
        <v>89</v>
      </c>
      <c r="D560" s="103"/>
      <c r="E560" s="103"/>
      <c r="F560" s="103"/>
      <c r="G560" s="103"/>
      <c r="H560" s="41" t="s">
        <v>83</v>
      </c>
      <c r="I560" s="42">
        <v>2</v>
      </c>
      <c r="J560" s="43">
        <v>1</v>
      </c>
      <c r="K560" s="43">
        <v>2</v>
      </c>
      <c r="L560" s="61">
        <v>42.54</v>
      </c>
      <c r="M560" s="62">
        <v>1.42</v>
      </c>
      <c r="N560" s="61">
        <v>60.41</v>
      </c>
      <c r="O560" s="42"/>
      <c r="P560" s="50">
        <v>138.94299999999998</v>
      </c>
      <c r="Q560"/>
      <c r="R560"/>
      <c r="S560"/>
      <c r="T560">
        <f>T1812</f>
        <v>0</v>
      </c>
      <c r="U560" s="63">
        <f>120.82*(K560/W561)</f>
        <v>120.82</v>
      </c>
      <c r="V560"/>
      <c r="W560" s="42"/>
      <c r="X560"/>
      <c r="Y560"/>
      <c r="Z560"/>
      <c r="AA560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38"/>
      <c r="AW560" s="38"/>
      <c r="AX560" s="38" t="s">
        <v>89</v>
      </c>
      <c r="AY560" s="38"/>
      <c r="AZ560" s="6"/>
      <c r="BA560" s="38"/>
      <c r="BB560" s="6"/>
      <c r="BC560" s="6"/>
      <c r="BD560" s="6"/>
      <c r="BE560" s="6"/>
      <c r="BF560" s="6"/>
      <c r="BG560" s="6"/>
      <c r="BH560" s="6"/>
      <c r="BI560" s="6"/>
      <c r="BJ560" s="6"/>
      <c r="BK560" s="6"/>
    </row>
    <row r="561" spans="1:63" s="19" customFormat="1" ht="15" x14ac:dyDescent="0.25">
      <c r="A561" s="59"/>
      <c r="B561" s="98"/>
      <c r="C561" s="102" t="s">
        <v>63</v>
      </c>
      <c r="D561" s="102"/>
      <c r="E561" s="102"/>
      <c r="F561" s="102"/>
      <c r="G561" s="102"/>
      <c r="H561" s="41"/>
      <c r="I561" s="42"/>
      <c r="J561" s="42"/>
      <c r="K561" s="42"/>
      <c r="L561" s="45"/>
      <c r="M561" s="42"/>
      <c r="N561" s="45"/>
      <c r="O561" s="42"/>
      <c r="P561" s="50">
        <v>138.94299999999998</v>
      </c>
      <c r="Q561"/>
      <c r="R561"/>
      <c r="S561"/>
      <c r="T561">
        <f>T1812</f>
        <v>0</v>
      </c>
      <c r="U561" s="63">
        <f>120.82*(K560/W561)</f>
        <v>120.82</v>
      </c>
      <c r="V561"/>
      <c r="W561" s="43">
        <v>2</v>
      </c>
      <c r="X561"/>
      <c r="Y561"/>
      <c r="Z561"/>
      <c r="AA561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38"/>
      <c r="AW561" s="38"/>
      <c r="AX561" s="38"/>
      <c r="AY561" s="38"/>
      <c r="AZ561" s="6"/>
      <c r="BA561" s="38" t="s">
        <v>63</v>
      </c>
      <c r="BB561" s="6"/>
      <c r="BC561" s="6"/>
      <c r="BD561" s="6"/>
      <c r="BE561" s="6"/>
      <c r="BF561" s="6"/>
      <c r="BG561" s="6"/>
      <c r="BH561" s="6"/>
      <c r="BI561" s="6"/>
      <c r="BJ561" s="6"/>
      <c r="BK561" s="6"/>
    </row>
    <row r="562" spans="1:63" s="19" customFormat="1" ht="23.25" x14ac:dyDescent="0.25">
      <c r="A562" s="39" t="s">
        <v>650</v>
      </c>
      <c r="B562" s="97" t="s">
        <v>91</v>
      </c>
      <c r="C562" s="103" t="s">
        <v>92</v>
      </c>
      <c r="D562" s="103"/>
      <c r="E562" s="103"/>
      <c r="F562" s="103"/>
      <c r="G562" s="103"/>
      <c r="H562" s="41" t="s">
        <v>93</v>
      </c>
      <c r="I562" s="42">
        <v>2E-3</v>
      </c>
      <c r="J562" s="43">
        <v>1</v>
      </c>
      <c r="K562" s="66">
        <v>2E-3</v>
      </c>
      <c r="L562" s="49">
        <v>7782.25</v>
      </c>
      <c r="M562" s="62">
        <v>0.85</v>
      </c>
      <c r="N562" s="49">
        <v>6614.91</v>
      </c>
      <c r="O562" s="42"/>
      <c r="P562" s="50">
        <v>15.214499999999999</v>
      </c>
      <c r="Q562"/>
      <c r="R562"/>
      <c r="S562"/>
      <c r="T562">
        <f>T1812</f>
        <v>0</v>
      </c>
      <c r="U562" s="63">
        <f>13.23*(K562/W563)</f>
        <v>13.23</v>
      </c>
      <c r="V562"/>
      <c r="W562" s="42"/>
      <c r="X562"/>
      <c r="Y562"/>
      <c r="Z562"/>
      <c r="AA562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38"/>
      <c r="AW562" s="38"/>
      <c r="AX562" s="38" t="s">
        <v>92</v>
      </c>
      <c r="AY562" s="38"/>
      <c r="AZ562" s="6"/>
      <c r="BA562" s="38"/>
      <c r="BB562" s="6"/>
      <c r="BC562" s="6"/>
      <c r="BD562" s="6"/>
      <c r="BE562" s="6"/>
      <c r="BF562" s="6"/>
      <c r="BG562" s="6"/>
      <c r="BH562" s="6"/>
      <c r="BI562" s="6"/>
      <c r="BJ562" s="6"/>
      <c r="BK562" s="6"/>
    </row>
    <row r="563" spans="1:63" s="19" customFormat="1" ht="15" x14ac:dyDescent="0.25">
      <c r="A563" s="59"/>
      <c r="B563" s="98"/>
      <c r="C563" s="102" t="s">
        <v>63</v>
      </c>
      <c r="D563" s="102"/>
      <c r="E563" s="102"/>
      <c r="F563" s="102"/>
      <c r="G563" s="102"/>
      <c r="H563" s="41"/>
      <c r="I563" s="42"/>
      <c r="J563" s="42"/>
      <c r="K563" s="42"/>
      <c r="L563" s="45"/>
      <c r="M563" s="42"/>
      <c r="N563" s="45"/>
      <c r="O563" s="42"/>
      <c r="P563" s="50">
        <v>15.214499999999999</v>
      </c>
      <c r="Q563"/>
      <c r="R563"/>
      <c r="S563"/>
      <c r="T563">
        <f>T1812</f>
        <v>0</v>
      </c>
      <c r="U563" s="63">
        <f>U562</f>
        <v>13.23</v>
      </c>
      <c r="V563"/>
      <c r="W563" s="66">
        <v>2E-3</v>
      </c>
      <c r="X563"/>
      <c r="Y563"/>
      <c r="Z563"/>
      <c r="AA563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38"/>
      <c r="AW563" s="38"/>
      <c r="AX563" s="38"/>
      <c r="AY563" s="38"/>
      <c r="AZ563" s="6"/>
      <c r="BA563" s="38" t="s">
        <v>63</v>
      </c>
      <c r="BB563" s="6"/>
      <c r="BC563" s="6"/>
      <c r="BD563" s="6"/>
      <c r="BE563" s="6"/>
      <c r="BF563" s="6"/>
      <c r="BG563" s="6"/>
      <c r="BH563" s="6"/>
      <c r="BI563" s="6"/>
      <c r="BJ563" s="6"/>
      <c r="BK563" s="6"/>
    </row>
    <row r="564" spans="1:63" s="19" customFormat="1" ht="15" x14ac:dyDescent="0.25">
      <c r="A564" s="107" t="s">
        <v>94</v>
      </c>
      <c r="B564" s="108"/>
      <c r="C564" s="108"/>
      <c r="D564" s="108"/>
      <c r="E564" s="108"/>
      <c r="F564" s="108"/>
      <c r="G564" s="108"/>
      <c r="H564" s="108"/>
      <c r="I564" s="108"/>
      <c r="J564" s="108"/>
      <c r="K564" s="108"/>
      <c r="L564" s="108"/>
      <c r="M564" s="108"/>
      <c r="N564" s="108"/>
      <c r="O564" s="108"/>
      <c r="P564" s="109"/>
      <c r="Q564"/>
      <c r="R564"/>
      <c r="S564"/>
      <c r="T564"/>
      <c r="U564"/>
      <c r="V564"/>
      <c r="W564" s="42"/>
      <c r="X564"/>
      <c r="Y564"/>
      <c r="Z564"/>
      <c r="AA564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38"/>
      <c r="AW564" s="38" t="s">
        <v>94</v>
      </c>
      <c r="AX564" s="38"/>
      <c r="AY564" s="38"/>
      <c r="AZ564" s="6"/>
      <c r="BA564" s="38"/>
      <c r="BB564" s="6"/>
      <c r="BC564" s="6"/>
      <c r="BD564" s="6"/>
      <c r="BE564" s="6"/>
      <c r="BF564" s="6"/>
      <c r="BG564" s="6"/>
      <c r="BH564" s="6"/>
      <c r="BI564" s="6"/>
      <c r="BJ564" s="6"/>
      <c r="BK564" s="6"/>
    </row>
    <row r="565" spans="1:63" s="19" customFormat="1" ht="23.25" x14ac:dyDescent="0.25">
      <c r="A565" s="39" t="s">
        <v>651</v>
      </c>
      <c r="B565" s="97" t="s">
        <v>96</v>
      </c>
      <c r="C565" s="105" t="s">
        <v>308</v>
      </c>
      <c r="D565" s="105"/>
      <c r="E565" s="105"/>
      <c r="F565" s="105"/>
      <c r="G565" s="105"/>
      <c r="H565" s="41" t="s">
        <v>55</v>
      </c>
      <c r="I565" s="44">
        <v>2.2450000000000001E-2</v>
      </c>
      <c r="J565" s="43">
        <v>1</v>
      </c>
      <c r="K565" s="44">
        <f>I565</f>
        <v>2.2450000000000001E-2</v>
      </c>
      <c r="L565" s="45"/>
      <c r="M565" s="42"/>
      <c r="N565" s="45"/>
      <c r="O565" s="42"/>
      <c r="P565" s="46"/>
      <c r="Q565"/>
      <c r="R565"/>
      <c r="S565"/>
      <c r="T565"/>
      <c r="U565"/>
      <c r="V565"/>
      <c r="W565"/>
      <c r="X565"/>
      <c r="Y565"/>
      <c r="Z565"/>
      <c r="AA565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38"/>
      <c r="AW565" s="38"/>
      <c r="AX565" s="38" t="s">
        <v>97</v>
      </c>
      <c r="AY565" s="38"/>
      <c r="AZ565" s="6"/>
      <c r="BA565" s="38"/>
      <c r="BB565" s="6"/>
      <c r="BC565" s="6"/>
      <c r="BD565" s="6"/>
      <c r="BE565" s="6"/>
      <c r="BF565" s="6"/>
      <c r="BG565" s="6"/>
      <c r="BH565" s="6"/>
      <c r="BI565" s="6"/>
      <c r="BJ565" s="6"/>
      <c r="BK565" s="6"/>
    </row>
    <row r="566" spans="1:63" s="19" customFormat="1" ht="15" x14ac:dyDescent="0.25">
      <c r="A566" s="47"/>
      <c r="B566" s="48"/>
      <c r="C566" s="106" t="s">
        <v>56</v>
      </c>
      <c r="D566" s="106"/>
      <c r="E566" s="106"/>
      <c r="F566" s="106"/>
      <c r="G566" s="106"/>
      <c r="H566" s="41"/>
      <c r="I566" s="42"/>
      <c r="J566" s="42"/>
      <c r="K566" s="42"/>
      <c r="L566" s="45"/>
      <c r="M566" s="42"/>
      <c r="N566" s="49"/>
      <c r="O566" s="42"/>
      <c r="P566" s="50">
        <v>1167.204</v>
      </c>
      <c r="Q566" s="51"/>
      <c r="R566" s="51"/>
      <c r="S566"/>
      <c r="T566">
        <f>T1812</f>
        <v>0</v>
      </c>
      <c r="U566" s="50">
        <v>1014.96</v>
      </c>
      <c r="V566"/>
      <c r="W566" s="62">
        <v>0.02</v>
      </c>
      <c r="X566"/>
      <c r="Y566"/>
      <c r="Z566"/>
      <c r="AA56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38"/>
      <c r="AW566" s="38"/>
      <c r="AX566" s="38"/>
      <c r="AY566" s="38" t="s">
        <v>56</v>
      </c>
      <c r="AZ566" s="6"/>
      <c r="BA566" s="38"/>
      <c r="BB566" s="6"/>
      <c r="BC566" s="6"/>
      <c r="BD566" s="6"/>
      <c r="BE566" s="6"/>
      <c r="BF566" s="6"/>
      <c r="BG566" s="6"/>
      <c r="BH566" s="6"/>
      <c r="BI566" s="6"/>
      <c r="BJ566" s="6"/>
      <c r="BK566" s="6"/>
    </row>
    <row r="567" spans="1:63" s="19" customFormat="1" ht="15" x14ac:dyDescent="0.25">
      <c r="A567" s="52"/>
      <c r="B567" s="53"/>
      <c r="C567" s="110" t="s">
        <v>57</v>
      </c>
      <c r="D567" s="110"/>
      <c r="E567" s="110"/>
      <c r="F567" s="110"/>
      <c r="G567" s="110"/>
      <c r="H567" s="54"/>
      <c r="I567" s="55"/>
      <c r="J567" s="55"/>
      <c r="K567" s="55"/>
      <c r="L567" s="56"/>
      <c r="M567" s="55"/>
      <c r="N567" s="56"/>
      <c r="O567" s="55"/>
      <c r="P567" s="77">
        <v>718.45099999999991</v>
      </c>
      <c r="Q567"/>
      <c r="R567"/>
      <c r="S567"/>
      <c r="T567">
        <f>T1812</f>
        <v>0</v>
      </c>
      <c r="U567" s="65">
        <v>624.74</v>
      </c>
      <c r="V567"/>
      <c r="W567" s="42"/>
      <c r="X567"/>
      <c r="Y567"/>
      <c r="Z567"/>
      <c r="AA567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38"/>
      <c r="AW567" s="38"/>
      <c r="AX567" s="38"/>
      <c r="AY567" s="38"/>
      <c r="AZ567" s="6" t="s">
        <v>57</v>
      </c>
      <c r="BA567" s="38"/>
      <c r="BB567" s="6"/>
      <c r="BC567" s="6"/>
      <c r="BD567" s="6"/>
      <c r="BE567" s="6"/>
      <c r="BF567" s="6"/>
      <c r="BG567" s="6"/>
      <c r="BH567" s="6"/>
      <c r="BI567" s="6"/>
      <c r="BJ567" s="6"/>
      <c r="BK567" s="6"/>
    </row>
    <row r="568" spans="1:63" s="19" customFormat="1" ht="15" x14ac:dyDescent="0.25">
      <c r="A568" s="52"/>
      <c r="B568" s="53" t="s">
        <v>98</v>
      </c>
      <c r="C568" s="110" t="s">
        <v>99</v>
      </c>
      <c r="D568" s="110"/>
      <c r="E568" s="110"/>
      <c r="F568" s="110"/>
      <c r="G568" s="110"/>
      <c r="H568" s="54" t="s">
        <v>60</v>
      </c>
      <c r="I568" s="58">
        <v>108</v>
      </c>
      <c r="J568" s="55"/>
      <c r="K568" s="58">
        <v>108</v>
      </c>
      <c r="L568" s="56"/>
      <c r="M568" s="55"/>
      <c r="N568" s="56"/>
      <c r="O568" s="55"/>
      <c r="P568" s="77">
        <v>775.928</v>
      </c>
      <c r="Q568"/>
      <c r="R568"/>
      <c r="S568"/>
      <c r="T568">
        <f>T1812</f>
        <v>0</v>
      </c>
      <c r="U568" s="65">
        <v>674.72</v>
      </c>
      <c r="V568"/>
      <c r="W568" s="55"/>
      <c r="X568"/>
      <c r="Y568"/>
      <c r="Z568"/>
      <c r="AA568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38"/>
      <c r="AW568" s="38"/>
      <c r="AX568" s="38"/>
      <c r="AY568" s="38"/>
      <c r="AZ568" s="6" t="s">
        <v>99</v>
      </c>
      <c r="BA568" s="38"/>
      <c r="BB568" s="6"/>
      <c r="BC568" s="6"/>
      <c r="BD568" s="6"/>
      <c r="BE568" s="6"/>
      <c r="BF568" s="6"/>
      <c r="BG568" s="6"/>
      <c r="BH568" s="6"/>
      <c r="BI568" s="6"/>
      <c r="BJ568" s="6"/>
      <c r="BK568" s="6"/>
    </row>
    <row r="569" spans="1:63" s="19" customFormat="1" ht="15" x14ac:dyDescent="0.25">
      <c r="A569" s="52"/>
      <c r="B569" s="53" t="s">
        <v>100</v>
      </c>
      <c r="C569" s="110" t="s">
        <v>101</v>
      </c>
      <c r="D569" s="110"/>
      <c r="E569" s="110"/>
      <c r="F569" s="110"/>
      <c r="G569" s="110"/>
      <c r="H569" s="54" t="s">
        <v>60</v>
      </c>
      <c r="I569" s="58">
        <v>55</v>
      </c>
      <c r="J569" s="55"/>
      <c r="K569" s="58">
        <v>55</v>
      </c>
      <c r="L569" s="56"/>
      <c r="M569" s="55"/>
      <c r="N569" s="56"/>
      <c r="O569" s="55"/>
      <c r="P569" s="77">
        <v>395.1515</v>
      </c>
      <c r="Q569"/>
      <c r="R569"/>
      <c r="S569"/>
      <c r="T569">
        <f>T1812</f>
        <v>0</v>
      </c>
      <c r="U569" s="65">
        <v>343.61</v>
      </c>
      <c r="V569"/>
      <c r="W569" s="58">
        <v>108</v>
      </c>
      <c r="X569"/>
      <c r="Y569"/>
      <c r="Z569"/>
      <c r="AA569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38"/>
      <c r="AW569" s="38"/>
      <c r="AX569" s="38"/>
      <c r="AY569" s="38"/>
      <c r="AZ569" s="6" t="s">
        <v>101</v>
      </c>
      <c r="BA569" s="38"/>
      <c r="BB569" s="6"/>
      <c r="BC569" s="6"/>
      <c r="BD569" s="6"/>
      <c r="BE569" s="6"/>
      <c r="BF569" s="6"/>
      <c r="BG569" s="6"/>
      <c r="BH569" s="6"/>
      <c r="BI569" s="6"/>
      <c r="BJ569" s="6"/>
      <c r="BK569" s="6"/>
    </row>
    <row r="570" spans="1:63" s="19" customFormat="1" ht="15" x14ac:dyDescent="0.25">
      <c r="A570" s="59"/>
      <c r="B570" s="98"/>
      <c r="C570" s="106" t="s">
        <v>63</v>
      </c>
      <c r="D570" s="106"/>
      <c r="E570" s="106"/>
      <c r="F570" s="106"/>
      <c r="G570" s="106"/>
      <c r="H570" s="41"/>
      <c r="I570" s="42"/>
      <c r="J570" s="42"/>
      <c r="K570" s="42"/>
      <c r="L570" s="45"/>
      <c r="M570" s="42"/>
      <c r="N570" s="49">
        <v>101664.5</v>
      </c>
      <c r="O570" s="42"/>
      <c r="P570" s="50">
        <v>2333.0873144444445</v>
      </c>
      <c r="Q570"/>
      <c r="R570"/>
      <c r="S570"/>
      <c r="T570">
        <f>T1812</f>
        <v>0</v>
      </c>
      <c r="U570" s="50">
        <f>2033.29*(K565/0.0225)</f>
        <v>2028.771577777778</v>
      </c>
      <c r="V570"/>
      <c r="W570" s="58">
        <v>55</v>
      </c>
      <c r="X570"/>
      <c r="Y570"/>
      <c r="Z570"/>
      <c r="AA570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38"/>
      <c r="AW570" s="38"/>
      <c r="AX570" s="38"/>
      <c r="AY570" s="38"/>
      <c r="AZ570" s="6"/>
      <c r="BA570" s="38" t="s">
        <v>63</v>
      </c>
      <c r="BB570" s="6"/>
      <c r="BC570" s="6"/>
      <c r="BD570" s="6"/>
      <c r="BE570" s="6"/>
      <c r="BF570" s="6"/>
      <c r="BG570" s="6"/>
      <c r="BH570" s="6"/>
      <c r="BI570" s="6"/>
      <c r="BJ570" s="6"/>
      <c r="BK570" s="6"/>
    </row>
    <row r="571" spans="1:63" s="19" customFormat="1" ht="15" x14ac:dyDescent="0.25">
      <c r="A571" s="39" t="s">
        <v>652</v>
      </c>
      <c r="B571" s="97" t="s">
        <v>103</v>
      </c>
      <c r="C571" s="105" t="s">
        <v>309</v>
      </c>
      <c r="D571" s="105"/>
      <c r="E571" s="105"/>
      <c r="F571" s="105"/>
      <c r="G571" s="105"/>
      <c r="H571" s="41" t="s">
        <v>83</v>
      </c>
      <c r="I571" s="42">
        <v>15</v>
      </c>
      <c r="J571" s="43">
        <v>1</v>
      </c>
      <c r="K571" s="67">
        <v>15</v>
      </c>
      <c r="L571" s="61">
        <v>92.12</v>
      </c>
      <c r="M571" s="62">
        <v>1.48</v>
      </c>
      <c r="N571" s="61">
        <v>136.34</v>
      </c>
      <c r="O571" s="42"/>
      <c r="P571" s="50">
        <v>2629.2565</v>
      </c>
      <c r="Q571"/>
      <c r="R571"/>
      <c r="S571"/>
      <c r="T571">
        <f>T1812</f>
        <v>0</v>
      </c>
      <c r="U571" s="63">
        <f>2286.31*(K571/W571)</f>
        <v>2286.31</v>
      </c>
      <c r="V571"/>
      <c r="W571" s="42">
        <v>15</v>
      </c>
      <c r="X571"/>
      <c r="Y571"/>
      <c r="Z571"/>
      <c r="AA571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38"/>
      <c r="AW571" s="38"/>
      <c r="AX571" s="38" t="s">
        <v>104</v>
      </c>
      <c r="AY571" s="38"/>
      <c r="AZ571" s="6"/>
      <c r="BA571" s="38"/>
      <c r="BB571" s="6"/>
      <c r="BC571" s="6"/>
      <c r="BD571" s="6"/>
      <c r="BE571" s="6"/>
      <c r="BF571" s="6"/>
      <c r="BG571" s="6"/>
      <c r="BH571" s="6"/>
      <c r="BI571" s="6"/>
      <c r="BJ571" s="6"/>
      <c r="BK571" s="6"/>
    </row>
    <row r="572" spans="1:63" s="19" customFormat="1" ht="15" x14ac:dyDescent="0.25">
      <c r="A572" s="59"/>
      <c r="B572" s="98"/>
      <c r="C572" s="102" t="s">
        <v>63</v>
      </c>
      <c r="D572" s="102"/>
      <c r="E572" s="102"/>
      <c r="F572" s="102"/>
      <c r="G572" s="102"/>
      <c r="H572" s="41"/>
      <c r="I572" s="42"/>
      <c r="J572" s="42"/>
      <c r="K572" s="42"/>
      <c r="L572" s="45"/>
      <c r="M572" s="42"/>
      <c r="N572" s="45"/>
      <c r="O572" s="42"/>
      <c r="P572" s="50">
        <v>2629.2565</v>
      </c>
      <c r="Q572"/>
      <c r="R572"/>
      <c r="S572"/>
      <c r="T572">
        <f>T1812</f>
        <v>0</v>
      </c>
      <c r="U572" s="63">
        <f>U571</f>
        <v>2286.31</v>
      </c>
      <c r="V572"/>
      <c r="W572" s="67">
        <v>15</v>
      </c>
      <c r="X572"/>
      <c r="Y572"/>
      <c r="Z572"/>
      <c r="AA572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38"/>
      <c r="AW572" s="38"/>
      <c r="AX572" s="38"/>
      <c r="AY572" s="38"/>
      <c r="AZ572" s="6"/>
      <c r="BA572" s="38" t="s">
        <v>63</v>
      </c>
      <c r="BB572" s="6"/>
      <c r="BC572" s="6"/>
      <c r="BD572" s="6"/>
      <c r="BE572" s="6"/>
      <c r="BF572" s="6"/>
      <c r="BG572" s="6"/>
      <c r="BH572" s="6"/>
      <c r="BI572" s="6"/>
      <c r="BJ572" s="6"/>
      <c r="BK572" s="6"/>
    </row>
    <row r="573" spans="1:63" s="19" customFormat="1" ht="23.25" x14ac:dyDescent="0.25">
      <c r="A573" s="39" t="s">
        <v>653</v>
      </c>
      <c r="B573" s="97" t="s">
        <v>107</v>
      </c>
      <c r="C573" s="103" t="s">
        <v>108</v>
      </c>
      <c r="D573" s="103"/>
      <c r="E573" s="103"/>
      <c r="F573" s="103"/>
      <c r="G573" s="103"/>
      <c r="H573" s="41" t="s">
        <v>55</v>
      </c>
      <c r="I573" s="42">
        <v>0.13639999999999999</v>
      </c>
      <c r="J573" s="43">
        <v>1</v>
      </c>
      <c r="K573" s="44">
        <v>0.13639999999999999</v>
      </c>
      <c r="L573" s="45"/>
      <c r="M573" s="42"/>
      <c r="N573" s="45"/>
      <c r="O573" s="42"/>
      <c r="P573" s="50"/>
      <c r="Q573"/>
      <c r="R573"/>
      <c r="S573"/>
      <c r="T573"/>
      <c r="U573" s="46"/>
      <c r="V573"/>
      <c r="W573" s="42"/>
      <c r="X573"/>
      <c r="Y573"/>
      <c r="Z573"/>
      <c r="AA573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38"/>
      <c r="AW573" s="38"/>
      <c r="AX573" s="38" t="s">
        <v>108</v>
      </c>
      <c r="AY573" s="38"/>
      <c r="AZ573" s="6"/>
      <c r="BA573" s="38"/>
      <c r="BB573" s="6"/>
      <c r="BC573" s="6"/>
      <c r="BD573" s="6"/>
      <c r="BE573" s="6"/>
      <c r="BF573" s="6"/>
      <c r="BG573" s="6"/>
      <c r="BH573" s="6"/>
      <c r="BI573" s="6"/>
      <c r="BJ573" s="6"/>
      <c r="BK573" s="6"/>
    </row>
    <row r="574" spans="1:63" s="19" customFormat="1" ht="15" x14ac:dyDescent="0.25">
      <c r="A574" s="47"/>
      <c r="B574" s="48"/>
      <c r="C574" s="102" t="s">
        <v>56</v>
      </c>
      <c r="D574" s="102"/>
      <c r="E574" s="102"/>
      <c r="F574" s="102"/>
      <c r="G574" s="102"/>
      <c r="H574" s="41"/>
      <c r="I574" s="42"/>
      <c r="J574" s="42"/>
      <c r="K574" s="42"/>
      <c r="L574" s="45"/>
      <c r="M574" s="42"/>
      <c r="N574" s="49"/>
      <c r="O574" s="42"/>
      <c r="P574" s="50">
        <v>305.78499999999997</v>
      </c>
      <c r="Q574" s="51"/>
      <c r="R574" s="51"/>
      <c r="S574"/>
      <c r="T574">
        <f>T1812</f>
        <v>0</v>
      </c>
      <c r="U574" s="50">
        <v>265.89999999999998</v>
      </c>
      <c r="V574"/>
      <c r="W574" s="44">
        <v>0.13639999999999999</v>
      </c>
      <c r="X574"/>
      <c r="Y574"/>
      <c r="Z574"/>
      <c r="AA574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38"/>
      <c r="AW574" s="38"/>
      <c r="AX574" s="38"/>
      <c r="AY574" s="38" t="s">
        <v>56</v>
      </c>
      <c r="AZ574" s="6"/>
      <c r="BA574" s="38"/>
      <c r="BB574" s="6"/>
      <c r="BC574" s="6"/>
      <c r="BD574" s="6"/>
      <c r="BE574" s="6"/>
      <c r="BF574" s="6"/>
      <c r="BG574" s="6"/>
      <c r="BH574" s="6"/>
      <c r="BI574" s="6"/>
      <c r="BJ574" s="6"/>
      <c r="BK574" s="6"/>
    </row>
    <row r="575" spans="1:63" s="19" customFormat="1" ht="15" x14ac:dyDescent="0.25">
      <c r="A575" s="52"/>
      <c r="B575" s="53"/>
      <c r="C575" s="104" t="s">
        <v>57</v>
      </c>
      <c r="D575" s="104"/>
      <c r="E575" s="104"/>
      <c r="F575" s="104"/>
      <c r="G575" s="104"/>
      <c r="H575" s="54"/>
      <c r="I575" s="55"/>
      <c r="J575" s="55"/>
      <c r="K575" s="55"/>
      <c r="L575" s="56"/>
      <c r="M575" s="55"/>
      <c r="N575" s="56"/>
      <c r="O575" s="55"/>
      <c r="P575" s="77">
        <v>303.11699999999996</v>
      </c>
      <c r="Q575"/>
      <c r="R575"/>
      <c r="S575"/>
      <c r="T575">
        <f>T1812</f>
        <v>0</v>
      </c>
      <c r="U575" s="65">
        <v>263.58</v>
      </c>
      <c r="V575"/>
      <c r="W575" s="42"/>
      <c r="X575"/>
      <c r="Y575"/>
      <c r="Z575"/>
      <c r="AA575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38"/>
      <c r="AW575" s="38"/>
      <c r="AX575" s="38"/>
      <c r="AY575" s="38"/>
      <c r="AZ575" s="6" t="s">
        <v>57</v>
      </c>
      <c r="BA575" s="38"/>
      <c r="BB575" s="6"/>
      <c r="BC575" s="6"/>
      <c r="BD575" s="6"/>
      <c r="BE575" s="6"/>
      <c r="BF575" s="6"/>
      <c r="BG575" s="6"/>
      <c r="BH575" s="6"/>
      <c r="BI575" s="6"/>
      <c r="BJ575" s="6"/>
      <c r="BK575" s="6"/>
    </row>
    <row r="576" spans="1:63" s="19" customFormat="1" ht="15" x14ac:dyDescent="0.25">
      <c r="A576" s="52"/>
      <c r="B576" s="53" t="s">
        <v>58</v>
      </c>
      <c r="C576" s="104" t="s">
        <v>59</v>
      </c>
      <c r="D576" s="104"/>
      <c r="E576" s="104"/>
      <c r="F576" s="104"/>
      <c r="G576" s="104"/>
      <c r="H576" s="54" t="s">
        <v>60</v>
      </c>
      <c r="I576" s="58">
        <v>100</v>
      </c>
      <c r="J576" s="55"/>
      <c r="K576" s="58">
        <v>100</v>
      </c>
      <c r="L576" s="56"/>
      <c r="M576" s="55"/>
      <c r="N576" s="56"/>
      <c r="O576" s="55"/>
      <c r="P576" s="77">
        <v>303.11699999999996</v>
      </c>
      <c r="Q576"/>
      <c r="R576"/>
      <c r="S576"/>
      <c r="T576">
        <f>T1812</f>
        <v>0</v>
      </c>
      <c r="U576" s="65">
        <v>263.58</v>
      </c>
      <c r="V576"/>
      <c r="W576" s="55"/>
      <c r="X576"/>
      <c r="Y576"/>
      <c r="Z576"/>
      <c r="AA57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38"/>
      <c r="AW576" s="38"/>
      <c r="AX576" s="38"/>
      <c r="AY576" s="38"/>
      <c r="AZ576" s="6" t="s">
        <v>59</v>
      </c>
      <c r="BA576" s="38"/>
      <c r="BB576" s="6"/>
      <c r="BC576" s="6"/>
      <c r="BD576" s="6"/>
      <c r="BE576" s="6"/>
      <c r="BF576" s="6"/>
      <c r="BG576" s="6"/>
      <c r="BH576" s="6"/>
      <c r="BI576" s="6"/>
      <c r="BJ576" s="6"/>
      <c r="BK576" s="6"/>
    </row>
    <row r="577" spans="1:63" s="19" customFormat="1" ht="15" x14ac:dyDescent="0.25">
      <c r="A577" s="52"/>
      <c r="B577" s="53" t="s">
        <v>61</v>
      </c>
      <c r="C577" s="104" t="s">
        <v>62</v>
      </c>
      <c r="D577" s="104"/>
      <c r="E577" s="104"/>
      <c r="F577" s="104"/>
      <c r="G577" s="104"/>
      <c r="H577" s="54" t="s">
        <v>60</v>
      </c>
      <c r="I577" s="58">
        <v>49</v>
      </c>
      <c r="J577" s="55"/>
      <c r="K577" s="58">
        <v>49</v>
      </c>
      <c r="L577" s="56"/>
      <c r="M577" s="55"/>
      <c r="N577" s="56"/>
      <c r="O577" s="55"/>
      <c r="P577" s="77">
        <v>148.52250000000001</v>
      </c>
      <c r="Q577"/>
      <c r="R577"/>
      <c r="S577"/>
      <c r="T577">
        <f>T1812</f>
        <v>0</v>
      </c>
      <c r="U577" s="65">
        <v>129.15</v>
      </c>
      <c r="V577"/>
      <c r="W577" s="58">
        <v>100</v>
      </c>
      <c r="X577"/>
      <c r="Y577"/>
      <c r="Z577"/>
      <c r="AA577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38"/>
      <c r="AW577" s="38"/>
      <c r="AX577" s="38"/>
      <c r="AY577" s="38"/>
      <c r="AZ577" s="6" t="s">
        <v>62</v>
      </c>
      <c r="BA577" s="38"/>
      <c r="BB577" s="6"/>
      <c r="BC577" s="6"/>
      <c r="BD577" s="6"/>
      <c r="BE577" s="6"/>
      <c r="BF577" s="6"/>
      <c r="BG577" s="6"/>
      <c r="BH577" s="6"/>
      <c r="BI577" s="6"/>
      <c r="BJ577" s="6"/>
      <c r="BK577" s="6"/>
    </row>
    <row r="578" spans="1:63" s="19" customFormat="1" ht="15" x14ac:dyDescent="0.25">
      <c r="A578" s="59"/>
      <c r="B578" s="98"/>
      <c r="C578" s="102" t="s">
        <v>63</v>
      </c>
      <c r="D578" s="102"/>
      <c r="E578" s="102"/>
      <c r="F578" s="102"/>
      <c r="G578" s="102"/>
      <c r="H578" s="41"/>
      <c r="I578" s="42"/>
      <c r="J578" s="42"/>
      <c r="K578" s="42"/>
      <c r="L578" s="45"/>
      <c r="M578" s="42"/>
      <c r="N578" s="49">
        <v>4828.67</v>
      </c>
      <c r="O578" s="42"/>
      <c r="P578" s="50">
        <v>757.42449999999997</v>
      </c>
      <c r="Q578"/>
      <c r="R578"/>
      <c r="S578"/>
      <c r="T578">
        <f>T1812</f>
        <v>0</v>
      </c>
      <c r="U578" s="63">
        <f>658.63*(K573/W574)</f>
        <v>658.63</v>
      </c>
      <c r="V578"/>
      <c r="W578" s="58">
        <v>49</v>
      </c>
      <c r="X578"/>
      <c r="Y578"/>
      <c r="Z578"/>
      <c r="AA578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38"/>
      <c r="AW578" s="38"/>
      <c r="AX578" s="38"/>
      <c r="AY578" s="38"/>
      <c r="AZ578" s="6"/>
      <c r="BA578" s="38" t="s">
        <v>63</v>
      </c>
      <c r="BB578" s="6"/>
      <c r="BC578" s="6"/>
      <c r="BD578" s="6"/>
      <c r="BE578" s="6"/>
      <c r="BF578" s="6"/>
      <c r="BG578" s="6"/>
      <c r="BH578" s="6"/>
      <c r="BI578" s="6"/>
      <c r="BJ578" s="6"/>
      <c r="BK578" s="6"/>
    </row>
    <row r="579" spans="1:63" s="19" customFormat="1" ht="15" x14ac:dyDescent="0.25">
      <c r="A579" s="39" t="s">
        <v>654</v>
      </c>
      <c r="B579" s="97" t="s">
        <v>110</v>
      </c>
      <c r="C579" s="103" t="s">
        <v>111</v>
      </c>
      <c r="D579" s="103"/>
      <c r="E579" s="103"/>
      <c r="F579" s="103"/>
      <c r="G579" s="103"/>
      <c r="H579" s="41" t="s">
        <v>67</v>
      </c>
      <c r="I579" s="42">
        <v>1.4049</v>
      </c>
      <c r="J579" s="43">
        <v>1</v>
      </c>
      <c r="K579" s="44">
        <v>1.4049</v>
      </c>
      <c r="L579" s="61">
        <v>65.84</v>
      </c>
      <c r="M579" s="67">
        <v>1.2</v>
      </c>
      <c r="N579" s="61">
        <v>79.010000000000005</v>
      </c>
      <c r="O579" s="42"/>
      <c r="P579" s="50">
        <v>127.64999999999999</v>
      </c>
      <c r="Q579"/>
      <c r="R579"/>
      <c r="S579"/>
      <c r="T579">
        <f>T1812</f>
        <v>0</v>
      </c>
      <c r="U579" s="63">
        <f>111*(K579/W580)</f>
        <v>111</v>
      </c>
      <c r="V579"/>
      <c r="W579" s="42"/>
      <c r="X579"/>
      <c r="Y579"/>
      <c r="Z579"/>
      <c r="AA579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38"/>
      <c r="AW579" s="38"/>
      <c r="AX579" s="38" t="s">
        <v>111</v>
      </c>
      <c r="AY579" s="38"/>
      <c r="AZ579" s="6"/>
      <c r="BA579" s="38"/>
      <c r="BB579" s="6"/>
      <c r="BC579" s="6"/>
      <c r="BD579" s="6"/>
      <c r="BE579" s="6"/>
      <c r="BF579" s="6"/>
      <c r="BG579" s="6"/>
      <c r="BH579" s="6"/>
      <c r="BI579" s="6"/>
      <c r="BJ579" s="6"/>
      <c r="BK579" s="6"/>
    </row>
    <row r="580" spans="1:63" s="19" customFormat="1" ht="15" x14ac:dyDescent="0.25">
      <c r="A580" s="59"/>
      <c r="B580" s="98"/>
      <c r="C580" s="102" t="s">
        <v>63</v>
      </c>
      <c r="D580" s="102"/>
      <c r="E580" s="102"/>
      <c r="F580" s="102"/>
      <c r="G580" s="102"/>
      <c r="H580" s="41"/>
      <c r="I580" s="42"/>
      <c r="J580" s="42"/>
      <c r="K580" s="42"/>
      <c r="L580" s="45"/>
      <c r="M580" s="42"/>
      <c r="N580" s="45"/>
      <c r="O580" s="42"/>
      <c r="P580" s="50">
        <v>127.64999999999999</v>
      </c>
      <c r="Q580"/>
      <c r="R580"/>
      <c r="S580"/>
      <c r="T580">
        <f>T1812</f>
        <v>0</v>
      </c>
      <c r="U580" s="63">
        <f>U579</f>
        <v>111</v>
      </c>
      <c r="V580"/>
      <c r="W580" s="44">
        <v>1.4049</v>
      </c>
      <c r="X580"/>
      <c r="Y580"/>
      <c r="Z580"/>
      <c r="AA580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38"/>
      <c r="AW580" s="38"/>
      <c r="AX580" s="38"/>
      <c r="AY580" s="38"/>
      <c r="AZ580" s="6"/>
      <c r="BA580" s="38" t="s">
        <v>63</v>
      </c>
      <c r="BB580" s="6"/>
      <c r="BC580" s="6"/>
      <c r="BD580" s="6"/>
      <c r="BE580" s="6"/>
      <c r="BF580" s="6"/>
      <c r="BG580" s="6"/>
      <c r="BH580" s="6"/>
      <c r="BI580" s="6"/>
      <c r="BJ580" s="6"/>
      <c r="BK580" s="6"/>
    </row>
    <row r="581" spans="1:63" s="19" customFormat="1" ht="34.5" x14ac:dyDescent="0.25">
      <c r="A581" s="39" t="s">
        <v>655</v>
      </c>
      <c r="B581" s="97" t="s">
        <v>113</v>
      </c>
      <c r="C581" s="103" t="s">
        <v>114</v>
      </c>
      <c r="D581" s="103"/>
      <c r="E581" s="103"/>
      <c r="F581" s="103"/>
      <c r="G581" s="103"/>
      <c r="H581" s="41" t="s">
        <v>55</v>
      </c>
      <c r="I581" s="42">
        <v>0.13639999999999999</v>
      </c>
      <c r="J581" s="43">
        <v>1</v>
      </c>
      <c r="K581" s="44">
        <v>0.13639999999999999</v>
      </c>
      <c r="L581" s="45"/>
      <c r="M581" s="42"/>
      <c r="N581" s="45"/>
      <c r="O581" s="42"/>
      <c r="P581" s="50"/>
      <c r="Q581"/>
      <c r="R581"/>
      <c r="S581"/>
      <c r="T581"/>
      <c r="U581" s="46"/>
      <c r="V581"/>
      <c r="W581" s="42"/>
      <c r="X581"/>
      <c r="Y581"/>
      <c r="Z581"/>
      <c r="AA581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38"/>
      <c r="AW581" s="38"/>
      <c r="AX581" s="38" t="s">
        <v>114</v>
      </c>
      <c r="AY581" s="38"/>
      <c r="AZ581" s="6"/>
      <c r="BA581" s="38"/>
      <c r="BB581" s="6"/>
      <c r="BC581" s="6"/>
      <c r="BD581" s="6"/>
      <c r="BE581" s="6"/>
      <c r="BF581" s="6"/>
      <c r="BG581" s="6"/>
      <c r="BH581" s="6"/>
      <c r="BI581" s="6"/>
      <c r="BJ581" s="6"/>
      <c r="BK581" s="6"/>
    </row>
    <row r="582" spans="1:63" s="19" customFormat="1" ht="15" x14ac:dyDescent="0.25">
      <c r="A582" s="47"/>
      <c r="B582" s="48"/>
      <c r="C582" s="102" t="s">
        <v>56</v>
      </c>
      <c r="D582" s="102"/>
      <c r="E582" s="102"/>
      <c r="F582" s="102"/>
      <c r="G582" s="102"/>
      <c r="H582" s="41"/>
      <c r="I582" s="42"/>
      <c r="J582" s="42"/>
      <c r="K582" s="42"/>
      <c r="L582" s="45"/>
      <c r="M582" s="42"/>
      <c r="N582" s="49"/>
      <c r="O582" s="42"/>
      <c r="P582" s="50">
        <v>1936.8874999999998</v>
      </c>
      <c r="Q582" s="51"/>
      <c r="R582" s="51"/>
      <c r="S582"/>
      <c r="T582">
        <f>T1812</f>
        <v>0</v>
      </c>
      <c r="U582" s="50">
        <v>1684.25</v>
      </c>
      <c r="V582"/>
      <c r="W582" s="44">
        <v>0.13639999999999999</v>
      </c>
      <c r="X582"/>
      <c r="Y582"/>
      <c r="Z582"/>
      <c r="AA582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38"/>
      <c r="AW582" s="38"/>
      <c r="AX582" s="38"/>
      <c r="AY582" s="38" t="s">
        <v>56</v>
      </c>
      <c r="AZ582" s="6"/>
      <c r="BA582" s="38"/>
      <c r="BB582" s="6"/>
      <c r="BC582" s="6"/>
      <c r="BD582" s="6"/>
      <c r="BE582" s="6"/>
      <c r="BF582" s="6"/>
      <c r="BG582" s="6"/>
      <c r="BH582" s="6"/>
      <c r="BI582" s="6"/>
      <c r="BJ582" s="6"/>
      <c r="BK582" s="6"/>
    </row>
    <row r="583" spans="1:63" s="19" customFormat="1" ht="15" x14ac:dyDescent="0.25">
      <c r="A583" s="52"/>
      <c r="B583" s="53"/>
      <c r="C583" s="104" t="s">
        <v>57</v>
      </c>
      <c r="D583" s="104"/>
      <c r="E583" s="104"/>
      <c r="F583" s="104"/>
      <c r="G583" s="104"/>
      <c r="H583" s="54"/>
      <c r="I583" s="55"/>
      <c r="J583" s="55"/>
      <c r="K583" s="55"/>
      <c r="L583" s="56"/>
      <c r="M583" s="55"/>
      <c r="N583" s="56"/>
      <c r="O583" s="55"/>
      <c r="P583" s="77">
        <v>1927.2504999999996</v>
      </c>
      <c r="Q583"/>
      <c r="R583"/>
      <c r="S583"/>
      <c r="T583">
        <f>T1812</f>
        <v>0</v>
      </c>
      <c r="U583" s="57">
        <v>1675.87</v>
      </c>
      <c r="V583"/>
      <c r="W583" s="42"/>
      <c r="X583"/>
      <c r="Y583"/>
      <c r="Z583"/>
      <c r="AA583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38"/>
      <c r="AW583" s="38"/>
      <c r="AX583" s="38"/>
      <c r="AY583" s="38"/>
      <c r="AZ583" s="6" t="s">
        <v>57</v>
      </c>
      <c r="BA583" s="38"/>
      <c r="BB583" s="6"/>
      <c r="BC583" s="6"/>
      <c r="BD583" s="6"/>
      <c r="BE583" s="6"/>
      <c r="BF583" s="6"/>
      <c r="BG583" s="6"/>
      <c r="BH583" s="6"/>
      <c r="BI583" s="6"/>
      <c r="BJ583" s="6"/>
      <c r="BK583" s="6"/>
    </row>
    <row r="584" spans="1:63" s="19" customFormat="1" ht="15" x14ac:dyDescent="0.25">
      <c r="A584" s="52"/>
      <c r="B584" s="53" t="s">
        <v>58</v>
      </c>
      <c r="C584" s="104" t="s">
        <v>59</v>
      </c>
      <c r="D584" s="104"/>
      <c r="E584" s="104"/>
      <c r="F584" s="104"/>
      <c r="G584" s="104"/>
      <c r="H584" s="54" t="s">
        <v>60</v>
      </c>
      <c r="I584" s="58">
        <v>100</v>
      </c>
      <c r="J584" s="55"/>
      <c r="K584" s="58">
        <v>100</v>
      </c>
      <c r="L584" s="56"/>
      <c r="M584" s="55"/>
      <c r="N584" s="56"/>
      <c r="O584" s="55"/>
      <c r="P584" s="77">
        <v>1927.2504999999996</v>
      </c>
      <c r="Q584"/>
      <c r="R584"/>
      <c r="S584"/>
      <c r="T584">
        <f>T1812</f>
        <v>0</v>
      </c>
      <c r="U584" s="57">
        <v>1675.87</v>
      </c>
      <c r="V584"/>
      <c r="W584" s="55"/>
      <c r="X584"/>
      <c r="Y584"/>
      <c r="Z584"/>
      <c r="AA584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38"/>
      <c r="AW584" s="38"/>
      <c r="AX584" s="38"/>
      <c r="AY584" s="38"/>
      <c r="AZ584" s="6" t="s">
        <v>59</v>
      </c>
      <c r="BA584" s="38"/>
      <c r="BB584" s="6"/>
      <c r="BC584" s="6"/>
      <c r="BD584" s="6"/>
      <c r="BE584" s="6"/>
      <c r="BF584" s="6"/>
      <c r="BG584" s="6"/>
      <c r="BH584" s="6"/>
      <c r="BI584" s="6"/>
      <c r="BJ584" s="6"/>
      <c r="BK584" s="6"/>
    </row>
    <row r="585" spans="1:63" s="19" customFormat="1" ht="15" x14ac:dyDescent="0.25">
      <c r="A585" s="52"/>
      <c r="B585" s="53" t="s">
        <v>61</v>
      </c>
      <c r="C585" s="104" t="s">
        <v>62</v>
      </c>
      <c r="D585" s="104"/>
      <c r="E585" s="104"/>
      <c r="F585" s="104"/>
      <c r="G585" s="104"/>
      <c r="H585" s="54" t="s">
        <v>60</v>
      </c>
      <c r="I585" s="58">
        <v>49</v>
      </c>
      <c r="J585" s="55"/>
      <c r="K585" s="58">
        <v>49</v>
      </c>
      <c r="L585" s="56"/>
      <c r="M585" s="55"/>
      <c r="N585" s="56"/>
      <c r="O585" s="55"/>
      <c r="P585" s="77">
        <v>944.35699999999986</v>
      </c>
      <c r="Q585"/>
      <c r="R585"/>
      <c r="S585"/>
      <c r="T585">
        <f>T1812</f>
        <v>0</v>
      </c>
      <c r="U585" s="65">
        <v>821.18</v>
      </c>
      <c r="V585"/>
      <c r="W585" s="58">
        <v>100</v>
      </c>
      <c r="X585"/>
      <c r="Y585"/>
      <c r="Z585"/>
      <c r="AA585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38"/>
      <c r="AW585" s="38"/>
      <c r="AX585" s="38"/>
      <c r="AY585" s="38"/>
      <c r="AZ585" s="6" t="s">
        <v>62</v>
      </c>
      <c r="BA585" s="38"/>
      <c r="BB585" s="6"/>
      <c r="BC585" s="6"/>
      <c r="BD585" s="6"/>
      <c r="BE585" s="6"/>
      <c r="BF585" s="6"/>
      <c r="BG585" s="6"/>
      <c r="BH585" s="6"/>
      <c r="BI585" s="6"/>
      <c r="BJ585" s="6"/>
      <c r="BK585" s="6"/>
    </row>
    <row r="586" spans="1:63" s="19" customFormat="1" ht="15" x14ac:dyDescent="0.25">
      <c r="A586" s="59"/>
      <c r="B586" s="98"/>
      <c r="C586" s="102" t="s">
        <v>63</v>
      </c>
      <c r="D586" s="102"/>
      <c r="E586" s="102"/>
      <c r="F586" s="102"/>
      <c r="G586" s="102"/>
      <c r="H586" s="41"/>
      <c r="I586" s="42"/>
      <c r="J586" s="42"/>
      <c r="K586" s="42"/>
      <c r="L586" s="45"/>
      <c r="M586" s="42"/>
      <c r="N586" s="49">
        <v>30654.69</v>
      </c>
      <c r="O586" s="42"/>
      <c r="P586" s="50">
        <v>4808.4949999999999</v>
      </c>
      <c r="Q586"/>
      <c r="R586"/>
      <c r="S586"/>
      <c r="T586">
        <f>T1812</f>
        <v>0</v>
      </c>
      <c r="U586" s="50">
        <f>4181.3*(K581/W582)</f>
        <v>4181.3</v>
      </c>
      <c r="V586"/>
      <c r="W586" s="58">
        <v>49</v>
      </c>
      <c r="X586"/>
      <c r="Y586"/>
      <c r="Z586"/>
      <c r="AA58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38"/>
      <c r="AW586" s="38"/>
      <c r="AX586" s="38"/>
      <c r="AY586" s="38"/>
      <c r="AZ586" s="6"/>
      <c r="BA586" s="38" t="s">
        <v>63</v>
      </c>
      <c r="BB586" s="6"/>
      <c r="BC586" s="6"/>
      <c r="BD586" s="6"/>
      <c r="BE586" s="6"/>
      <c r="BF586" s="6"/>
      <c r="BG586" s="6"/>
      <c r="BH586" s="6"/>
      <c r="BI586" s="6"/>
      <c r="BJ586" s="6"/>
      <c r="BK586" s="6"/>
    </row>
    <row r="587" spans="1:63" s="19" customFormat="1" ht="34.5" x14ac:dyDescent="0.25">
      <c r="A587" s="39" t="s">
        <v>656</v>
      </c>
      <c r="B587" s="97" t="s">
        <v>116</v>
      </c>
      <c r="C587" s="103" t="s">
        <v>117</v>
      </c>
      <c r="D587" s="103"/>
      <c r="E587" s="103"/>
      <c r="F587" s="103"/>
      <c r="G587" s="103"/>
      <c r="H587" s="41" t="s">
        <v>67</v>
      </c>
      <c r="I587" s="42">
        <v>115.94</v>
      </c>
      <c r="J587" s="43">
        <v>1</v>
      </c>
      <c r="K587" s="62">
        <v>115.94</v>
      </c>
      <c r="L587" s="61">
        <v>17.34</v>
      </c>
      <c r="M587" s="62">
        <v>1.42</v>
      </c>
      <c r="N587" s="61">
        <v>24.62</v>
      </c>
      <c r="O587" s="42"/>
      <c r="P587" s="50">
        <v>3282.6059999999998</v>
      </c>
      <c r="Q587"/>
      <c r="R587"/>
      <c r="S587"/>
      <c r="T587">
        <f>T1812</f>
        <v>0</v>
      </c>
      <c r="U587" s="50">
        <f>U588</f>
        <v>2854.44</v>
      </c>
      <c r="V587"/>
      <c r="W587" s="42"/>
      <c r="X587"/>
      <c r="Y587"/>
      <c r="Z587"/>
      <c r="AA587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38"/>
      <c r="AW587" s="38"/>
      <c r="AX587" s="38" t="s">
        <v>117</v>
      </c>
      <c r="AY587" s="38"/>
      <c r="AZ587" s="6"/>
      <c r="BA587" s="38"/>
      <c r="BB587" s="6"/>
      <c r="BC587" s="6"/>
      <c r="BD587" s="6"/>
      <c r="BE587" s="6"/>
      <c r="BF587" s="6"/>
      <c r="BG587" s="6"/>
      <c r="BH587" s="6"/>
      <c r="BI587" s="6"/>
      <c r="BJ587" s="6"/>
      <c r="BK587" s="6"/>
    </row>
    <row r="588" spans="1:63" s="19" customFormat="1" ht="15" x14ac:dyDescent="0.25">
      <c r="A588" s="59"/>
      <c r="B588" s="98"/>
      <c r="C588" s="102" t="s">
        <v>63</v>
      </c>
      <c r="D588" s="102"/>
      <c r="E588" s="102"/>
      <c r="F588" s="102"/>
      <c r="G588" s="102"/>
      <c r="H588" s="41"/>
      <c r="I588" s="42"/>
      <c r="J588" s="42"/>
      <c r="K588" s="42"/>
      <c r="L588" s="45"/>
      <c r="M588" s="42"/>
      <c r="N588" s="45"/>
      <c r="O588" s="42"/>
      <c r="P588" s="50">
        <v>3282.6059999999998</v>
      </c>
      <c r="Q588"/>
      <c r="R588"/>
      <c r="S588"/>
      <c r="T588">
        <f>T1812</f>
        <v>0</v>
      </c>
      <c r="U588" s="50">
        <f>2854.44*(K587/W588)</f>
        <v>2854.44</v>
      </c>
      <c r="V588"/>
      <c r="W588" s="62">
        <v>115.94</v>
      </c>
      <c r="X588"/>
      <c r="Y588"/>
      <c r="Z588"/>
      <c r="AA588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38"/>
      <c r="AW588" s="38"/>
      <c r="AX588" s="38"/>
      <c r="AY588" s="38"/>
      <c r="AZ588" s="6"/>
      <c r="BA588" s="38" t="s">
        <v>63</v>
      </c>
      <c r="BB588" s="6"/>
      <c r="BC588" s="6"/>
      <c r="BD588" s="6"/>
      <c r="BE588" s="6"/>
      <c r="BF588" s="6"/>
      <c r="BG588" s="6"/>
      <c r="BH588" s="6"/>
      <c r="BI588" s="6"/>
      <c r="BJ588" s="6"/>
      <c r="BK588" s="6"/>
    </row>
    <row r="589" spans="1:63" s="19" customFormat="1" ht="23.25" x14ac:dyDescent="0.25">
      <c r="A589" s="39" t="s">
        <v>657</v>
      </c>
      <c r="B589" s="97" t="s">
        <v>119</v>
      </c>
      <c r="C589" s="103" t="s">
        <v>120</v>
      </c>
      <c r="D589" s="103"/>
      <c r="E589" s="103"/>
      <c r="F589" s="103"/>
      <c r="G589" s="103"/>
      <c r="H589" s="41" t="s">
        <v>105</v>
      </c>
      <c r="I589" s="42">
        <v>13.912800000000001</v>
      </c>
      <c r="J589" s="43">
        <v>1</v>
      </c>
      <c r="K589" s="44">
        <v>13.912800000000001</v>
      </c>
      <c r="L589" s="61">
        <v>50.99</v>
      </c>
      <c r="M589" s="62">
        <v>1.1599999999999999</v>
      </c>
      <c r="N589" s="61">
        <v>59.15</v>
      </c>
      <c r="O589" s="42"/>
      <c r="P589" s="50">
        <v>946.38099999999997</v>
      </c>
      <c r="Q589"/>
      <c r="R589"/>
      <c r="S589"/>
      <c r="T589">
        <f>T1812</f>
        <v>0</v>
      </c>
      <c r="U589" s="63">
        <f>U590</f>
        <v>822.94</v>
      </c>
      <c r="V589"/>
      <c r="W589" s="42"/>
      <c r="X589"/>
      <c r="Y589"/>
      <c r="Z589"/>
      <c r="AA589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38"/>
      <c r="AW589" s="38"/>
      <c r="AX589" s="38" t="s">
        <v>120</v>
      </c>
      <c r="AY589" s="38"/>
      <c r="AZ589" s="6"/>
      <c r="BA589" s="38"/>
      <c r="BB589" s="6"/>
      <c r="BC589" s="6"/>
      <c r="BD589" s="6"/>
      <c r="BE589" s="6"/>
      <c r="BF589" s="6"/>
      <c r="BG589" s="6"/>
      <c r="BH589" s="6"/>
      <c r="BI589" s="6"/>
      <c r="BJ589" s="6"/>
      <c r="BK589" s="6"/>
    </row>
    <row r="590" spans="1:63" s="19" customFormat="1" ht="15" x14ac:dyDescent="0.25">
      <c r="A590" s="59"/>
      <c r="B590" s="98"/>
      <c r="C590" s="102" t="s">
        <v>63</v>
      </c>
      <c r="D590" s="102"/>
      <c r="E590" s="102"/>
      <c r="F590" s="102"/>
      <c r="G590" s="102"/>
      <c r="H590" s="41"/>
      <c r="I590" s="42"/>
      <c r="J590" s="42"/>
      <c r="K590" s="42"/>
      <c r="L590" s="45"/>
      <c r="M590" s="42"/>
      <c r="N590" s="45"/>
      <c r="O590" s="42"/>
      <c r="P590" s="50">
        <v>946.38099999999997</v>
      </c>
      <c r="Q590"/>
      <c r="R590"/>
      <c r="S590"/>
      <c r="T590">
        <f>T1812</f>
        <v>0</v>
      </c>
      <c r="U590" s="63">
        <f>822.94*(K589/W590)</f>
        <v>822.94</v>
      </c>
      <c r="V590"/>
      <c r="W590" s="44">
        <v>13.912800000000001</v>
      </c>
      <c r="X590"/>
      <c r="Y590"/>
      <c r="Z590"/>
      <c r="AA590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38"/>
      <c r="AW590" s="38"/>
      <c r="AX590" s="38"/>
      <c r="AY590" s="38"/>
      <c r="AZ590" s="6"/>
      <c r="BA590" s="38" t="s">
        <v>63</v>
      </c>
      <c r="BB590" s="6"/>
      <c r="BC590" s="6"/>
      <c r="BD590" s="6"/>
      <c r="BE590" s="6"/>
      <c r="BF590" s="6"/>
      <c r="BG590" s="6"/>
      <c r="BH590" s="6"/>
      <c r="BI590" s="6"/>
      <c r="BJ590" s="6"/>
      <c r="BK590" s="6"/>
    </row>
    <row r="591" spans="1:63" s="19" customFormat="1" ht="15" x14ac:dyDescent="0.25">
      <c r="A591" s="39" t="s">
        <v>658</v>
      </c>
      <c r="B591" s="97" t="s">
        <v>110</v>
      </c>
      <c r="C591" s="103" t="s">
        <v>111</v>
      </c>
      <c r="D591" s="103"/>
      <c r="E591" s="103"/>
      <c r="F591" s="103"/>
      <c r="G591" s="103"/>
      <c r="H591" s="41" t="s">
        <v>67</v>
      </c>
      <c r="I591" s="42">
        <v>2.7280000000000002</v>
      </c>
      <c r="J591" s="43">
        <v>1</v>
      </c>
      <c r="K591" s="66">
        <v>2.7280000000000002</v>
      </c>
      <c r="L591" s="61">
        <v>65.84</v>
      </c>
      <c r="M591" s="67">
        <v>1.2</v>
      </c>
      <c r="N591" s="61">
        <v>79.010000000000005</v>
      </c>
      <c r="O591" s="42"/>
      <c r="P591" s="50">
        <v>247.87099999999998</v>
      </c>
      <c r="Q591"/>
      <c r="R591"/>
      <c r="S591"/>
      <c r="T591">
        <f>T1812</f>
        <v>0</v>
      </c>
      <c r="U591" s="63">
        <f>U592</f>
        <v>215.54</v>
      </c>
      <c r="V591"/>
      <c r="W591" s="42"/>
      <c r="X591"/>
      <c r="Y591"/>
      <c r="Z591"/>
      <c r="AA591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38"/>
      <c r="AW591" s="38"/>
      <c r="AX591" s="38" t="s">
        <v>111</v>
      </c>
      <c r="AY591" s="38"/>
      <c r="AZ591" s="6"/>
      <c r="BA591" s="38"/>
      <c r="BB591" s="6"/>
      <c r="BC591" s="6"/>
      <c r="BD591" s="6"/>
      <c r="BE591" s="6"/>
      <c r="BF591" s="6"/>
      <c r="BG591" s="6"/>
      <c r="BH591" s="6"/>
      <c r="BI591" s="6"/>
      <c r="BJ591" s="6"/>
      <c r="BK591" s="6"/>
    </row>
    <row r="592" spans="1:63" s="19" customFormat="1" ht="15" x14ac:dyDescent="0.25">
      <c r="A592" s="59"/>
      <c r="B592" s="98"/>
      <c r="C592" s="102" t="s">
        <v>63</v>
      </c>
      <c r="D592" s="102"/>
      <c r="E592" s="102"/>
      <c r="F592" s="102"/>
      <c r="G592" s="102"/>
      <c r="H592" s="41"/>
      <c r="I592" s="42"/>
      <c r="J592" s="42"/>
      <c r="K592" s="42"/>
      <c r="L592" s="45"/>
      <c r="M592" s="42"/>
      <c r="N592" s="45"/>
      <c r="O592" s="42"/>
      <c r="P592" s="50">
        <v>247.87099999999998</v>
      </c>
      <c r="Q592"/>
      <c r="R592"/>
      <c r="S592"/>
      <c r="T592">
        <f>T1812</f>
        <v>0</v>
      </c>
      <c r="U592" s="63">
        <f>215.54*(K591/W592)</f>
        <v>215.54</v>
      </c>
      <c r="V592"/>
      <c r="W592" s="66">
        <v>2.7280000000000002</v>
      </c>
      <c r="X592"/>
      <c r="Y592"/>
      <c r="Z592"/>
      <c r="AA592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38"/>
      <c r="AW592" s="38"/>
      <c r="AX592" s="38"/>
      <c r="AY592" s="38"/>
      <c r="AZ592" s="6"/>
      <c r="BA592" s="38" t="s">
        <v>63</v>
      </c>
      <c r="BB592" s="6"/>
      <c r="BC592" s="6"/>
      <c r="BD592" s="6"/>
      <c r="BE592" s="6"/>
      <c r="BF592" s="6"/>
      <c r="BG592" s="6"/>
      <c r="BH592" s="6"/>
      <c r="BI592" s="6"/>
      <c r="BJ592" s="6"/>
      <c r="BK592" s="6"/>
    </row>
    <row r="593" spans="1:63" s="19" customFormat="1" ht="15" x14ac:dyDescent="0.25">
      <c r="A593" s="39" t="s">
        <v>659</v>
      </c>
      <c r="B593" s="97" t="s">
        <v>123</v>
      </c>
      <c r="C593" s="103" t="s">
        <v>124</v>
      </c>
      <c r="D593" s="103"/>
      <c r="E593" s="103"/>
      <c r="F593" s="103"/>
      <c r="G593" s="103"/>
      <c r="H593" s="41" t="s">
        <v>125</v>
      </c>
      <c r="I593" s="42">
        <v>0.27</v>
      </c>
      <c r="J593" s="43">
        <v>1</v>
      </c>
      <c r="K593" s="62">
        <v>0.27</v>
      </c>
      <c r="L593" s="45"/>
      <c r="M593" s="42"/>
      <c r="N593" s="45"/>
      <c r="O593" s="42"/>
      <c r="P593" s="50"/>
      <c r="Q593"/>
      <c r="R593"/>
      <c r="S593"/>
      <c r="T593"/>
      <c r="U593" s="46"/>
      <c r="V593"/>
      <c r="W593" s="42"/>
      <c r="X593"/>
      <c r="Y593"/>
      <c r="Z593"/>
      <c r="AA593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38"/>
      <c r="AW593" s="38"/>
      <c r="AX593" s="38" t="s">
        <v>124</v>
      </c>
      <c r="AY593" s="38"/>
      <c r="AZ593" s="6"/>
      <c r="BA593" s="38"/>
      <c r="BB593" s="6"/>
      <c r="BC593" s="6"/>
      <c r="BD593" s="6"/>
      <c r="BE593" s="6"/>
      <c r="BF593" s="6"/>
      <c r="BG593" s="6"/>
      <c r="BH593" s="6"/>
      <c r="BI593" s="6"/>
      <c r="BJ593" s="6"/>
      <c r="BK593" s="6"/>
    </row>
    <row r="594" spans="1:63" s="19" customFormat="1" ht="15" x14ac:dyDescent="0.25">
      <c r="A594" s="47"/>
      <c r="B594" s="48"/>
      <c r="C594" s="102" t="s">
        <v>56</v>
      </c>
      <c r="D594" s="102"/>
      <c r="E594" s="102"/>
      <c r="F594" s="102"/>
      <c r="G594" s="102"/>
      <c r="H594" s="41"/>
      <c r="I594" s="42"/>
      <c r="J594" s="42"/>
      <c r="K594" s="42"/>
      <c r="L594" s="45"/>
      <c r="M594" s="42"/>
      <c r="N594" s="49"/>
      <c r="O594" s="42"/>
      <c r="P594" s="50">
        <v>844.41049999999996</v>
      </c>
      <c r="Q594" s="51"/>
      <c r="R594" s="51"/>
      <c r="S594"/>
      <c r="T594">
        <f>T1812</f>
        <v>0</v>
      </c>
      <c r="U594" s="50">
        <v>734.27</v>
      </c>
      <c r="V594"/>
      <c r="W594" s="62">
        <v>0.27</v>
      </c>
      <c r="X594"/>
      <c r="Y594"/>
      <c r="Z594"/>
      <c r="AA594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38"/>
      <c r="AW594" s="38"/>
      <c r="AX594" s="38"/>
      <c r="AY594" s="38" t="s">
        <v>56</v>
      </c>
      <c r="AZ594" s="6"/>
      <c r="BA594" s="38"/>
      <c r="BB594" s="6"/>
      <c r="BC594" s="6"/>
      <c r="BD594" s="6"/>
      <c r="BE594" s="6"/>
      <c r="BF594" s="6"/>
      <c r="BG594" s="6"/>
      <c r="BH594" s="6"/>
      <c r="BI594" s="6"/>
      <c r="BJ594" s="6"/>
      <c r="BK594" s="6"/>
    </row>
    <row r="595" spans="1:63" s="19" customFormat="1" ht="15" x14ac:dyDescent="0.25">
      <c r="A595" s="52"/>
      <c r="B595" s="53"/>
      <c r="C595" s="104" t="s">
        <v>57</v>
      </c>
      <c r="D595" s="104"/>
      <c r="E595" s="104"/>
      <c r="F595" s="104"/>
      <c r="G595" s="104"/>
      <c r="H595" s="54"/>
      <c r="I595" s="55"/>
      <c r="J595" s="55"/>
      <c r="K595" s="55"/>
      <c r="L595" s="56"/>
      <c r="M595" s="55"/>
      <c r="N595" s="56"/>
      <c r="O595" s="55"/>
      <c r="P595" s="77">
        <v>764.66949999999986</v>
      </c>
      <c r="Q595"/>
      <c r="R595"/>
      <c r="S595"/>
      <c r="T595">
        <f>T1812</f>
        <v>0</v>
      </c>
      <c r="U595" s="65">
        <v>664.93</v>
      </c>
      <c r="V595"/>
      <c r="W595" s="42"/>
      <c r="X595"/>
      <c r="Y595"/>
      <c r="Z595"/>
      <c r="AA595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38"/>
      <c r="AW595" s="38"/>
      <c r="AX595" s="38"/>
      <c r="AY595" s="38"/>
      <c r="AZ595" s="6" t="s">
        <v>57</v>
      </c>
      <c r="BA595" s="38"/>
      <c r="BB595" s="6"/>
      <c r="BC595" s="6"/>
      <c r="BD595" s="6"/>
      <c r="BE595" s="6"/>
      <c r="BF595" s="6"/>
      <c r="BG595" s="6"/>
      <c r="BH595" s="6"/>
      <c r="BI595" s="6"/>
      <c r="BJ595" s="6"/>
      <c r="BK595" s="6"/>
    </row>
    <row r="596" spans="1:63" s="19" customFormat="1" ht="15" x14ac:dyDescent="0.25">
      <c r="A596" s="52"/>
      <c r="B596" s="53" t="s">
        <v>98</v>
      </c>
      <c r="C596" s="104" t="s">
        <v>99</v>
      </c>
      <c r="D596" s="104"/>
      <c r="E596" s="104"/>
      <c r="F596" s="104"/>
      <c r="G596" s="104"/>
      <c r="H596" s="54" t="s">
        <v>60</v>
      </c>
      <c r="I596" s="58">
        <v>108</v>
      </c>
      <c r="J596" s="55"/>
      <c r="K596" s="58">
        <v>108</v>
      </c>
      <c r="L596" s="56"/>
      <c r="M596" s="55"/>
      <c r="N596" s="56"/>
      <c r="O596" s="55"/>
      <c r="P596" s="77">
        <v>825.83799999999997</v>
      </c>
      <c r="Q596"/>
      <c r="R596"/>
      <c r="S596"/>
      <c r="T596">
        <f>T1812</f>
        <v>0</v>
      </c>
      <c r="U596" s="65">
        <v>718.12</v>
      </c>
      <c r="V596"/>
      <c r="W596" s="55"/>
      <c r="X596"/>
      <c r="Y596"/>
      <c r="Z596"/>
      <c r="AA59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38"/>
      <c r="AW596" s="38"/>
      <c r="AX596" s="38"/>
      <c r="AY596" s="38"/>
      <c r="AZ596" s="6" t="s">
        <v>99</v>
      </c>
      <c r="BA596" s="38"/>
      <c r="BB596" s="6"/>
      <c r="BC596" s="6"/>
      <c r="BD596" s="6"/>
      <c r="BE596" s="6"/>
      <c r="BF596" s="6"/>
      <c r="BG596" s="6"/>
      <c r="BH596" s="6"/>
      <c r="BI596" s="6"/>
      <c r="BJ596" s="6"/>
      <c r="BK596" s="6"/>
    </row>
    <row r="597" spans="1:63" s="19" customFormat="1" ht="15" x14ac:dyDescent="0.25">
      <c r="A597" s="52"/>
      <c r="B597" s="53" t="s">
        <v>100</v>
      </c>
      <c r="C597" s="104" t="s">
        <v>101</v>
      </c>
      <c r="D597" s="104"/>
      <c r="E597" s="104"/>
      <c r="F597" s="104"/>
      <c r="G597" s="104"/>
      <c r="H597" s="54" t="s">
        <v>60</v>
      </c>
      <c r="I597" s="58">
        <v>55</v>
      </c>
      <c r="J597" s="55"/>
      <c r="K597" s="58">
        <v>55</v>
      </c>
      <c r="L597" s="56"/>
      <c r="M597" s="55"/>
      <c r="N597" s="56"/>
      <c r="O597" s="55"/>
      <c r="P597" s="77">
        <v>420.56649999999996</v>
      </c>
      <c r="Q597"/>
      <c r="R597"/>
      <c r="S597"/>
      <c r="T597">
        <f>T1812</f>
        <v>0</v>
      </c>
      <c r="U597" s="65">
        <v>365.71</v>
      </c>
      <c r="V597"/>
      <c r="W597" s="58">
        <v>108</v>
      </c>
      <c r="X597"/>
      <c r="Y597"/>
      <c r="Z597"/>
      <c r="AA597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38"/>
      <c r="AW597" s="38"/>
      <c r="AX597" s="38"/>
      <c r="AY597" s="38"/>
      <c r="AZ597" s="6" t="s">
        <v>101</v>
      </c>
      <c r="BA597" s="38"/>
      <c r="BB597" s="6"/>
      <c r="BC597" s="6"/>
      <c r="BD597" s="6"/>
      <c r="BE597" s="6"/>
      <c r="BF597" s="6"/>
      <c r="BG597" s="6"/>
      <c r="BH597" s="6"/>
      <c r="BI597" s="6"/>
      <c r="BJ597" s="6"/>
      <c r="BK597" s="6"/>
    </row>
    <row r="598" spans="1:63" s="19" customFormat="1" ht="15" x14ac:dyDescent="0.25">
      <c r="A598" s="59"/>
      <c r="B598" s="98"/>
      <c r="C598" s="102" t="s">
        <v>63</v>
      </c>
      <c r="D598" s="102"/>
      <c r="E598" s="102"/>
      <c r="F598" s="102"/>
      <c r="G598" s="102"/>
      <c r="H598" s="41"/>
      <c r="I598" s="42"/>
      <c r="J598" s="42"/>
      <c r="K598" s="42"/>
      <c r="L598" s="45"/>
      <c r="M598" s="42"/>
      <c r="N598" s="49">
        <v>6733.7</v>
      </c>
      <c r="O598" s="42"/>
      <c r="P598" s="50">
        <v>2090.8149999999996</v>
      </c>
      <c r="Q598"/>
      <c r="R598"/>
      <c r="S598"/>
      <c r="T598">
        <f>T1812</f>
        <v>0</v>
      </c>
      <c r="U598" s="50">
        <f>1818.1*(K593/0.27)</f>
        <v>1818.1</v>
      </c>
      <c r="V598"/>
      <c r="W598" s="58">
        <v>55</v>
      </c>
      <c r="X598"/>
      <c r="Y598"/>
      <c r="Z598"/>
      <c r="AA598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38"/>
      <c r="AW598" s="38"/>
      <c r="AX598" s="38"/>
      <c r="AY598" s="38"/>
      <c r="AZ598" s="6"/>
      <c r="BA598" s="38" t="s">
        <v>63</v>
      </c>
      <c r="BB598" s="6"/>
      <c r="BC598" s="6"/>
      <c r="BD598" s="6"/>
      <c r="BE598" s="6"/>
      <c r="BF598" s="6"/>
      <c r="BG598" s="6"/>
      <c r="BH598" s="6"/>
      <c r="BI598" s="6"/>
      <c r="BJ598" s="6"/>
      <c r="BK598" s="6"/>
    </row>
    <row r="599" spans="1:63" s="19" customFormat="1" ht="15" x14ac:dyDescent="0.25">
      <c r="A599" s="39" t="s">
        <v>660</v>
      </c>
      <c r="B599" s="97" t="s">
        <v>127</v>
      </c>
      <c r="C599" s="103" t="s">
        <v>128</v>
      </c>
      <c r="D599" s="103"/>
      <c r="E599" s="103"/>
      <c r="F599" s="103"/>
      <c r="G599" s="103"/>
      <c r="H599" s="41" t="s">
        <v>129</v>
      </c>
      <c r="I599" s="42">
        <v>2.7</v>
      </c>
      <c r="J599" s="43">
        <v>1</v>
      </c>
      <c r="K599" s="67">
        <v>2.7</v>
      </c>
      <c r="L599" s="61">
        <v>94.58</v>
      </c>
      <c r="M599" s="62">
        <v>1.17</v>
      </c>
      <c r="N599" s="61">
        <v>110.66</v>
      </c>
      <c r="O599" s="42"/>
      <c r="P599" s="50">
        <v>3435.9929999999999</v>
      </c>
      <c r="Q599"/>
      <c r="R599"/>
      <c r="S599"/>
      <c r="T599">
        <f>T1812</f>
        <v>0</v>
      </c>
      <c r="U599" s="50">
        <f>U600</f>
        <v>298.78200000000004</v>
      </c>
      <c r="V599"/>
      <c r="W599" s="42"/>
      <c r="X599"/>
      <c r="Y599"/>
      <c r="Z599"/>
      <c r="AA599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38"/>
      <c r="AW599" s="38"/>
      <c r="AX599" s="38" t="s">
        <v>128</v>
      </c>
      <c r="AY599" s="38"/>
      <c r="AZ599" s="6"/>
      <c r="BA599" s="38"/>
      <c r="BB599" s="6"/>
      <c r="BC599" s="6"/>
      <c r="BD599" s="6"/>
      <c r="BE599" s="6"/>
      <c r="BF599" s="6"/>
      <c r="BG599" s="6"/>
      <c r="BH599" s="6"/>
      <c r="BI599" s="6"/>
      <c r="BJ599" s="6"/>
      <c r="BK599" s="6"/>
    </row>
    <row r="600" spans="1:63" s="19" customFormat="1" ht="15" x14ac:dyDescent="0.25">
      <c r="A600" s="59"/>
      <c r="B600" s="98"/>
      <c r="C600" s="102" t="s">
        <v>63</v>
      </c>
      <c r="D600" s="102"/>
      <c r="E600" s="102"/>
      <c r="F600" s="102"/>
      <c r="G600" s="102"/>
      <c r="H600" s="41"/>
      <c r="I600" s="42"/>
      <c r="J600" s="42"/>
      <c r="K600" s="42"/>
      <c r="L600" s="45"/>
      <c r="M600" s="42"/>
      <c r="N600" s="45"/>
      <c r="O600" s="42"/>
      <c r="P600" s="50">
        <v>3435.9929999999999</v>
      </c>
      <c r="Q600"/>
      <c r="R600"/>
      <c r="S600"/>
      <c r="T600">
        <f>T1812</f>
        <v>0</v>
      </c>
      <c r="U600" s="50">
        <f>2987.82*(K599/W600)</f>
        <v>298.78200000000004</v>
      </c>
      <c r="V600"/>
      <c r="W600" s="43">
        <v>27</v>
      </c>
      <c r="X600"/>
      <c r="Y600"/>
      <c r="Z600"/>
      <c r="AA600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38"/>
      <c r="AW600" s="38"/>
      <c r="AX600" s="38"/>
      <c r="AY600" s="38"/>
      <c r="AZ600" s="6"/>
      <c r="BA600" s="38" t="s">
        <v>63</v>
      </c>
      <c r="BB600" s="6"/>
      <c r="BC600" s="6"/>
      <c r="BD600" s="6"/>
      <c r="BE600" s="6"/>
      <c r="BF600" s="6"/>
      <c r="BG600" s="6"/>
      <c r="BH600" s="6"/>
      <c r="BI600" s="6"/>
      <c r="BJ600" s="6"/>
      <c r="BK600" s="6"/>
    </row>
    <row r="601" spans="1:63" s="19" customFormat="1" ht="23.25" x14ac:dyDescent="0.25">
      <c r="A601" s="39" t="s">
        <v>661</v>
      </c>
      <c r="B601" s="97" t="s">
        <v>131</v>
      </c>
      <c r="C601" s="103" t="s">
        <v>132</v>
      </c>
      <c r="D601" s="103"/>
      <c r="E601" s="103"/>
      <c r="F601" s="103"/>
      <c r="G601" s="103"/>
      <c r="H601" s="41" t="s">
        <v>55</v>
      </c>
      <c r="I601" s="42">
        <v>0.17100000000000001</v>
      </c>
      <c r="J601" s="43">
        <v>1</v>
      </c>
      <c r="K601" s="44">
        <f>I601</f>
        <v>0.17100000000000001</v>
      </c>
      <c r="L601" s="45"/>
      <c r="M601" s="42"/>
      <c r="N601" s="45"/>
      <c r="O601" s="42"/>
      <c r="P601" s="50"/>
      <c r="Q601"/>
      <c r="R601"/>
      <c r="S601"/>
      <c r="T601"/>
      <c r="U601" s="46"/>
      <c r="V601"/>
      <c r="W601" s="42"/>
      <c r="X601"/>
      <c r="Y601"/>
      <c r="Z601"/>
      <c r="AA601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38"/>
      <c r="AW601" s="38"/>
      <c r="AX601" s="38" t="s">
        <v>132</v>
      </c>
      <c r="AY601" s="38"/>
      <c r="AZ601" s="6"/>
      <c r="BA601" s="38"/>
      <c r="BB601" s="6"/>
      <c r="BC601" s="6"/>
      <c r="BD601" s="6"/>
      <c r="BE601" s="6"/>
      <c r="BF601" s="6"/>
      <c r="BG601" s="6"/>
      <c r="BH601" s="6"/>
      <c r="BI601" s="6"/>
      <c r="BJ601" s="6"/>
      <c r="BK601" s="6"/>
    </row>
    <row r="602" spans="1:63" s="19" customFormat="1" ht="15" x14ac:dyDescent="0.25">
      <c r="A602" s="47"/>
      <c r="B602" s="48"/>
      <c r="C602" s="102" t="s">
        <v>56</v>
      </c>
      <c r="D602" s="102"/>
      <c r="E602" s="102"/>
      <c r="F602" s="102"/>
      <c r="G602" s="102"/>
      <c r="H602" s="41"/>
      <c r="I602" s="42"/>
      <c r="J602" s="42"/>
      <c r="K602" s="42"/>
      <c r="L602" s="45"/>
      <c r="M602" s="42"/>
      <c r="N602" s="49"/>
      <c r="O602" s="42"/>
      <c r="P602" s="50">
        <v>3346.4539999999997</v>
      </c>
      <c r="Q602" s="51"/>
      <c r="R602" s="51"/>
      <c r="S602"/>
      <c r="T602">
        <f>T1812</f>
        <v>0</v>
      </c>
      <c r="U602" s="50">
        <v>2909.96</v>
      </c>
      <c r="V602"/>
      <c r="W602" s="44">
        <v>0.13639999999999999</v>
      </c>
      <c r="X602"/>
      <c r="Y602"/>
      <c r="Z602"/>
      <c r="AA602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38"/>
      <c r="AW602" s="38"/>
      <c r="AX602" s="38"/>
      <c r="AY602" s="38" t="s">
        <v>56</v>
      </c>
      <c r="AZ602" s="6"/>
      <c r="BA602" s="38"/>
      <c r="BB602" s="6"/>
      <c r="BC602" s="6"/>
      <c r="BD602" s="6"/>
      <c r="BE602" s="6"/>
      <c r="BF602" s="6"/>
      <c r="BG602" s="6"/>
      <c r="BH602" s="6"/>
      <c r="BI602" s="6"/>
      <c r="BJ602" s="6"/>
      <c r="BK602" s="6"/>
    </row>
    <row r="603" spans="1:63" s="19" customFormat="1" ht="15" x14ac:dyDescent="0.25">
      <c r="A603" s="52"/>
      <c r="B603" s="53"/>
      <c r="C603" s="104" t="s">
        <v>57</v>
      </c>
      <c r="D603" s="104"/>
      <c r="E603" s="104"/>
      <c r="F603" s="104"/>
      <c r="G603" s="104"/>
      <c r="H603" s="54"/>
      <c r="I603" s="55"/>
      <c r="J603" s="55"/>
      <c r="K603" s="55"/>
      <c r="L603" s="56"/>
      <c r="M603" s="55"/>
      <c r="N603" s="56"/>
      <c r="O603" s="55"/>
      <c r="P603" s="77">
        <v>2585.7059999999997</v>
      </c>
      <c r="Q603"/>
      <c r="R603"/>
      <c r="S603"/>
      <c r="T603">
        <f>T1812</f>
        <v>0</v>
      </c>
      <c r="U603" s="57">
        <v>2248.44</v>
      </c>
      <c r="V603"/>
      <c r="W603" s="42"/>
      <c r="X603"/>
      <c r="Y603"/>
      <c r="Z603"/>
      <c r="AA603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38"/>
      <c r="AW603" s="38"/>
      <c r="AX603" s="38"/>
      <c r="AY603" s="38"/>
      <c r="AZ603" s="6" t="s">
        <v>57</v>
      </c>
      <c r="BA603" s="38"/>
      <c r="BB603" s="6"/>
      <c r="BC603" s="6"/>
      <c r="BD603" s="6"/>
      <c r="BE603" s="6"/>
      <c r="BF603" s="6"/>
      <c r="BG603" s="6"/>
      <c r="BH603" s="6"/>
      <c r="BI603" s="6"/>
      <c r="BJ603" s="6"/>
      <c r="BK603" s="6"/>
    </row>
    <row r="604" spans="1:63" s="19" customFormat="1" ht="15" x14ac:dyDescent="0.25">
      <c r="A604" s="52"/>
      <c r="B604" s="53" t="s">
        <v>58</v>
      </c>
      <c r="C604" s="104" t="s">
        <v>59</v>
      </c>
      <c r="D604" s="104"/>
      <c r="E604" s="104"/>
      <c r="F604" s="104"/>
      <c r="G604" s="104"/>
      <c r="H604" s="54" t="s">
        <v>60</v>
      </c>
      <c r="I604" s="58">
        <v>100</v>
      </c>
      <c r="J604" s="55"/>
      <c r="K604" s="58">
        <v>100</v>
      </c>
      <c r="L604" s="56"/>
      <c r="M604" s="55"/>
      <c r="N604" s="56"/>
      <c r="O604" s="55"/>
      <c r="P604" s="77">
        <v>2585.7059999999997</v>
      </c>
      <c r="Q604"/>
      <c r="R604"/>
      <c r="S604"/>
      <c r="T604">
        <f>T1812</f>
        <v>0</v>
      </c>
      <c r="U604" s="57">
        <v>2248.44</v>
      </c>
      <c r="V604"/>
      <c r="W604" s="55"/>
      <c r="X604"/>
      <c r="Y604"/>
      <c r="Z604"/>
      <c r="AA604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38"/>
      <c r="AW604" s="38"/>
      <c r="AX604" s="38"/>
      <c r="AY604" s="38"/>
      <c r="AZ604" s="6" t="s">
        <v>59</v>
      </c>
      <c r="BA604" s="38"/>
      <c r="BB604" s="6"/>
      <c r="BC604" s="6"/>
      <c r="BD604" s="6"/>
      <c r="BE604" s="6"/>
      <c r="BF604" s="6"/>
      <c r="BG604" s="6"/>
      <c r="BH604" s="6"/>
      <c r="BI604" s="6"/>
      <c r="BJ604" s="6"/>
      <c r="BK604" s="6"/>
    </row>
    <row r="605" spans="1:63" s="19" customFormat="1" ht="15" x14ac:dyDescent="0.25">
      <c r="A605" s="52"/>
      <c r="B605" s="53" t="s">
        <v>61</v>
      </c>
      <c r="C605" s="104" t="s">
        <v>62</v>
      </c>
      <c r="D605" s="104"/>
      <c r="E605" s="104"/>
      <c r="F605" s="104"/>
      <c r="G605" s="104"/>
      <c r="H605" s="54" t="s">
        <v>60</v>
      </c>
      <c r="I605" s="58">
        <v>49</v>
      </c>
      <c r="J605" s="55"/>
      <c r="K605" s="58">
        <v>49</v>
      </c>
      <c r="L605" s="56"/>
      <c r="M605" s="55"/>
      <c r="N605" s="56"/>
      <c r="O605" s="55"/>
      <c r="P605" s="77">
        <v>1267.001</v>
      </c>
      <c r="Q605"/>
      <c r="R605"/>
      <c r="S605"/>
      <c r="T605">
        <f>T1812</f>
        <v>0</v>
      </c>
      <c r="U605" s="57">
        <v>1101.74</v>
      </c>
      <c r="V605"/>
      <c r="W605" s="58">
        <v>100</v>
      </c>
      <c r="X605"/>
      <c r="Y605"/>
      <c r="Z605"/>
      <c r="AA605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38"/>
      <c r="AW605" s="38"/>
      <c r="AX605" s="38"/>
      <c r="AY605" s="38"/>
      <c r="AZ605" s="6" t="s">
        <v>62</v>
      </c>
      <c r="BA605" s="38"/>
      <c r="BB605" s="6"/>
      <c r="BC605" s="6"/>
      <c r="BD605" s="6"/>
      <c r="BE605" s="6"/>
      <c r="BF605" s="6"/>
      <c r="BG605" s="6"/>
      <c r="BH605" s="6"/>
      <c r="BI605" s="6"/>
      <c r="BJ605" s="6"/>
      <c r="BK605" s="6"/>
    </row>
    <row r="606" spans="1:63" s="19" customFormat="1" ht="15" x14ac:dyDescent="0.25">
      <c r="A606" s="59"/>
      <c r="B606" s="98"/>
      <c r="C606" s="102" t="s">
        <v>63</v>
      </c>
      <c r="D606" s="102"/>
      <c r="E606" s="102"/>
      <c r="F606" s="102"/>
      <c r="G606" s="102"/>
      <c r="H606" s="41"/>
      <c r="I606" s="42"/>
      <c r="J606" s="42"/>
      <c r="K606" s="42"/>
      <c r="L606" s="45"/>
      <c r="M606" s="42"/>
      <c r="N606" s="49">
        <v>45895.45</v>
      </c>
      <c r="O606" s="42"/>
      <c r="P606" s="50">
        <v>9025.3411363636387</v>
      </c>
      <c r="Q606"/>
      <c r="R606"/>
      <c r="S606"/>
      <c r="T606">
        <f>T1812</f>
        <v>0</v>
      </c>
      <c r="U606" s="50">
        <f>6260.14*(K601/W602)</f>
        <v>7848.1227272727292</v>
      </c>
      <c r="V606"/>
      <c r="W606" s="58">
        <v>49</v>
      </c>
      <c r="X606"/>
      <c r="Y606"/>
      <c r="Z606"/>
      <c r="AA60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38"/>
      <c r="AW606" s="38"/>
      <c r="AX606" s="38"/>
      <c r="AY606" s="38"/>
      <c r="AZ606" s="6"/>
      <c r="BA606" s="38" t="s">
        <v>63</v>
      </c>
      <c r="BB606" s="6"/>
      <c r="BC606" s="6"/>
      <c r="BD606" s="6"/>
      <c r="BE606" s="6"/>
      <c r="BF606" s="6"/>
      <c r="BG606" s="6"/>
      <c r="BH606" s="6"/>
      <c r="BI606" s="6"/>
      <c r="BJ606" s="6"/>
      <c r="BK606" s="6"/>
    </row>
    <row r="607" spans="1:63" s="19" customFormat="1" ht="23.25" x14ac:dyDescent="0.25">
      <c r="A607" s="39" t="s">
        <v>662</v>
      </c>
      <c r="B607" s="97" t="s">
        <v>134</v>
      </c>
      <c r="C607" s="103" t="s">
        <v>135</v>
      </c>
      <c r="D607" s="103"/>
      <c r="E607" s="103"/>
      <c r="F607" s="103"/>
      <c r="G607" s="103"/>
      <c r="H607" s="41" t="s">
        <v>71</v>
      </c>
      <c r="I607" s="42">
        <f>0.004092*1.5</f>
        <v>6.1380000000000002E-3</v>
      </c>
      <c r="J607" s="43">
        <v>1</v>
      </c>
      <c r="K607" s="68">
        <f>I607</f>
        <v>6.1380000000000002E-3</v>
      </c>
      <c r="L607" s="49">
        <v>52663.94</v>
      </c>
      <c r="M607" s="62">
        <v>1.81</v>
      </c>
      <c r="N607" s="49">
        <v>95321.73</v>
      </c>
      <c r="O607" s="42"/>
      <c r="P607" s="50">
        <v>672.85349999999994</v>
      </c>
      <c r="Q607"/>
      <c r="R607"/>
      <c r="S607"/>
      <c r="T607">
        <f>T1812</f>
        <v>0</v>
      </c>
      <c r="U607" s="63">
        <f>U608</f>
        <v>585.09</v>
      </c>
      <c r="V607"/>
      <c r="W607" s="42"/>
      <c r="X607"/>
      <c r="Y607"/>
      <c r="Z607"/>
      <c r="AA607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38"/>
      <c r="AW607" s="38"/>
      <c r="AX607" s="38" t="s">
        <v>135</v>
      </c>
      <c r="AY607" s="38"/>
      <c r="AZ607" s="6"/>
      <c r="BA607" s="38"/>
      <c r="BB607" s="6"/>
      <c r="BC607" s="6"/>
      <c r="BD607" s="6"/>
      <c r="BE607" s="6"/>
      <c r="BF607" s="6"/>
      <c r="BG607" s="6"/>
      <c r="BH607" s="6"/>
      <c r="BI607" s="6"/>
      <c r="BJ607" s="6"/>
      <c r="BK607" s="6"/>
    </row>
    <row r="608" spans="1:63" s="19" customFormat="1" ht="15" x14ac:dyDescent="0.25">
      <c r="A608" s="59"/>
      <c r="B608" s="98"/>
      <c r="C608" s="102" t="s">
        <v>63</v>
      </c>
      <c r="D608" s="102"/>
      <c r="E608" s="102"/>
      <c r="F608" s="102"/>
      <c r="G608" s="102"/>
      <c r="H608" s="41"/>
      <c r="I608" s="42"/>
      <c r="J608" s="42"/>
      <c r="K608" s="42"/>
      <c r="L608" s="45"/>
      <c r="M608" s="42"/>
      <c r="N608" s="45"/>
      <c r="O608" s="42"/>
      <c r="P608" s="50">
        <v>672.85349999999994</v>
      </c>
      <c r="Q608"/>
      <c r="R608"/>
      <c r="S608"/>
      <c r="T608">
        <f>T1812</f>
        <v>0</v>
      </c>
      <c r="U608" s="63">
        <f>390.06*(K607/W608)</f>
        <v>585.09</v>
      </c>
      <c r="V608"/>
      <c r="W608" s="68">
        <v>4.0920000000000002E-3</v>
      </c>
      <c r="X608"/>
      <c r="Y608"/>
      <c r="Z608"/>
      <c r="AA608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38"/>
      <c r="AW608" s="38"/>
      <c r="AX608" s="38"/>
      <c r="AY608" s="38"/>
      <c r="AZ608" s="6"/>
      <c r="BA608" s="38" t="s">
        <v>63</v>
      </c>
      <c r="BB608" s="6"/>
      <c r="BC608" s="6"/>
      <c r="BD608" s="6"/>
      <c r="BE608" s="6"/>
      <c r="BF608" s="6"/>
      <c r="BG608" s="6"/>
      <c r="BH608" s="6"/>
      <c r="BI608" s="6"/>
      <c r="BJ608" s="6"/>
      <c r="BK608" s="6"/>
    </row>
    <row r="609" spans="1:63" s="19" customFormat="1" ht="23.25" x14ac:dyDescent="0.25">
      <c r="A609" s="39" t="s">
        <v>663</v>
      </c>
      <c r="B609" s="97" t="s">
        <v>137</v>
      </c>
      <c r="C609" s="103" t="s">
        <v>138</v>
      </c>
      <c r="D609" s="103"/>
      <c r="E609" s="103"/>
      <c r="F609" s="103"/>
      <c r="G609" s="103"/>
      <c r="H609" s="41" t="s">
        <v>67</v>
      </c>
      <c r="I609" s="42">
        <f>2.728*1.5</f>
        <v>4.0920000000000005</v>
      </c>
      <c r="J609" s="43">
        <v>1</v>
      </c>
      <c r="K609" s="66">
        <f>I609</f>
        <v>4.0920000000000005</v>
      </c>
      <c r="L609" s="61">
        <v>144.12</v>
      </c>
      <c r="M609" s="67">
        <v>1.2</v>
      </c>
      <c r="N609" s="61">
        <v>172.94</v>
      </c>
      <c r="O609" s="42"/>
      <c r="P609" s="50">
        <v>813.82049999999992</v>
      </c>
      <c r="Q609"/>
      <c r="R609"/>
      <c r="S609"/>
      <c r="T609">
        <f>T1812</f>
        <v>0</v>
      </c>
      <c r="U609" s="63">
        <f>U610</f>
        <v>707.67</v>
      </c>
      <c r="V609"/>
      <c r="W609" s="42"/>
      <c r="X609"/>
      <c r="Y609"/>
      <c r="Z609"/>
      <c r="AA609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38"/>
      <c r="AW609" s="38"/>
      <c r="AX609" s="38" t="s">
        <v>138</v>
      </c>
      <c r="AY609" s="38"/>
      <c r="AZ609" s="6"/>
      <c r="BA609" s="38"/>
      <c r="BB609" s="6"/>
      <c r="BC609" s="6"/>
      <c r="BD609" s="6"/>
      <c r="BE609" s="6"/>
      <c r="BF609" s="6"/>
      <c r="BG609" s="6"/>
      <c r="BH609" s="6"/>
      <c r="BI609" s="6"/>
      <c r="BJ609" s="6"/>
      <c r="BK609" s="6"/>
    </row>
    <row r="610" spans="1:63" s="19" customFormat="1" ht="15" x14ac:dyDescent="0.25">
      <c r="A610" s="59"/>
      <c r="B610" s="98"/>
      <c r="C610" s="102" t="s">
        <v>63</v>
      </c>
      <c r="D610" s="102"/>
      <c r="E610" s="102"/>
      <c r="F610" s="102"/>
      <c r="G610" s="102"/>
      <c r="H610" s="41"/>
      <c r="I610" s="42"/>
      <c r="J610" s="42"/>
      <c r="K610" s="42"/>
      <c r="L610" s="45"/>
      <c r="M610" s="42"/>
      <c r="N610" s="45"/>
      <c r="O610" s="42"/>
      <c r="P610" s="50">
        <v>813.82049999999992</v>
      </c>
      <c r="Q610"/>
      <c r="R610"/>
      <c r="S610"/>
      <c r="T610">
        <f>T1812</f>
        <v>0</v>
      </c>
      <c r="U610" s="63">
        <f>471.78*(K609/W610)</f>
        <v>707.67</v>
      </c>
      <c r="V610"/>
      <c r="W610" s="66">
        <v>2.7280000000000002</v>
      </c>
      <c r="X610"/>
      <c r="Y610"/>
      <c r="Z610"/>
      <c r="AA610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38"/>
      <c r="AW610" s="38"/>
      <c r="AX610" s="38"/>
      <c r="AY610" s="38"/>
      <c r="AZ610" s="6"/>
      <c r="BA610" s="38" t="s">
        <v>63</v>
      </c>
      <c r="BB610" s="6"/>
      <c r="BC610" s="6"/>
      <c r="BD610" s="6"/>
      <c r="BE610" s="6"/>
      <c r="BF610" s="6"/>
      <c r="BG610" s="6"/>
      <c r="BH610" s="6"/>
      <c r="BI610" s="6"/>
      <c r="BJ610" s="6"/>
      <c r="BK610" s="6"/>
    </row>
    <row r="611" spans="1:63" s="19" customFormat="1" ht="45.75" x14ac:dyDescent="0.25">
      <c r="A611" s="39" t="s">
        <v>664</v>
      </c>
      <c r="B611" s="97" t="s">
        <v>140</v>
      </c>
      <c r="C611" s="103" t="s">
        <v>141</v>
      </c>
      <c r="D611" s="103"/>
      <c r="E611" s="103"/>
      <c r="F611" s="103"/>
      <c r="G611" s="103"/>
      <c r="H611" s="41" t="s">
        <v>55</v>
      </c>
      <c r="I611" s="42">
        <v>39.020000000000003</v>
      </c>
      <c r="J611" s="43">
        <v>1</v>
      </c>
      <c r="K611" s="62">
        <v>39.020000000000003</v>
      </c>
      <c r="L611" s="45"/>
      <c r="M611" s="42"/>
      <c r="N611" s="45"/>
      <c r="O611" s="42"/>
      <c r="P611" s="50"/>
      <c r="Q611"/>
      <c r="R611"/>
      <c r="S611"/>
      <c r="T611"/>
      <c r="U611" s="46"/>
      <c r="V611"/>
      <c r="W611" s="42"/>
      <c r="X611"/>
      <c r="Y611"/>
      <c r="Z611"/>
      <c r="AA611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38"/>
      <c r="AW611" s="38"/>
      <c r="AX611" s="38" t="s">
        <v>141</v>
      </c>
      <c r="AY611" s="38"/>
      <c r="AZ611" s="6"/>
      <c r="BA611" s="38"/>
      <c r="BB611" s="6"/>
      <c r="BC611" s="6"/>
      <c r="BD611" s="6"/>
      <c r="BE611" s="6"/>
      <c r="BF611" s="6"/>
      <c r="BG611" s="6"/>
      <c r="BH611" s="6"/>
      <c r="BI611" s="6"/>
      <c r="BJ611" s="6"/>
      <c r="BK611" s="6"/>
    </row>
    <row r="612" spans="1:63" s="19" customFormat="1" ht="15" x14ac:dyDescent="0.25">
      <c r="A612" s="47"/>
      <c r="B612" s="48"/>
      <c r="C612" s="102" t="s">
        <v>56</v>
      </c>
      <c r="D612" s="102"/>
      <c r="E612" s="102"/>
      <c r="F612" s="102"/>
      <c r="G612" s="102"/>
      <c r="H612" s="41"/>
      <c r="I612" s="42"/>
      <c r="J612" s="42"/>
      <c r="K612" s="42"/>
      <c r="L612" s="45"/>
      <c r="M612" s="42"/>
      <c r="N612" s="49"/>
      <c r="O612" s="42"/>
      <c r="P612" s="50">
        <v>39354.218999999997</v>
      </c>
      <c r="Q612" s="51"/>
      <c r="R612" s="51"/>
      <c r="S612"/>
      <c r="T612">
        <f>T1812</f>
        <v>0</v>
      </c>
      <c r="U612" s="50">
        <v>34221.06</v>
      </c>
      <c r="V612"/>
      <c r="W612" s="62">
        <v>0.39</v>
      </c>
      <c r="X612"/>
      <c r="Y612"/>
      <c r="Z612"/>
      <c r="AA612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38"/>
      <c r="AW612" s="38"/>
      <c r="AX612" s="38"/>
      <c r="AY612" s="38" t="s">
        <v>56</v>
      </c>
      <c r="AZ612" s="6"/>
      <c r="BA612" s="38"/>
      <c r="BB612" s="6"/>
      <c r="BC612" s="6"/>
      <c r="BD612" s="6"/>
      <c r="BE612" s="6"/>
      <c r="BF612" s="6"/>
      <c r="BG612" s="6"/>
      <c r="BH612" s="6"/>
      <c r="BI612" s="6"/>
      <c r="BJ612" s="6"/>
      <c r="BK612" s="6"/>
    </row>
    <row r="613" spans="1:63" s="19" customFormat="1" ht="15" x14ac:dyDescent="0.25">
      <c r="A613" s="52"/>
      <c r="B613" s="53"/>
      <c r="C613" s="104" t="s">
        <v>57</v>
      </c>
      <c r="D613" s="104"/>
      <c r="E613" s="104"/>
      <c r="F613" s="104"/>
      <c r="G613" s="104"/>
      <c r="H613" s="54"/>
      <c r="I613" s="55"/>
      <c r="J613" s="55"/>
      <c r="K613" s="55"/>
      <c r="L613" s="56"/>
      <c r="M613" s="55"/>
      <c r="N613" s="56"/>
      <c r="O613" s="55"/>
      <c r="P613" s="77">
        <v>35608.898999999998</v>
      </c>
      <c r="Q613"/>
      <c r="R613"/>
      <c r="S613"/>
      <c r="T613">
        <f>T1812</f>
        <v>0</v>
      </c>
      <c r="U613" s="57">
        <v>30964.26</v>
      </c>
      <c r="V613"/>
      <c r="W613" s="42"/>
      <c r="X613"/>
      <c r="Y613"/>
      <c r="Z613"/>
      <c r="AA613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38"/>
      <c r="AW613" s="38"/>
      <c r="AX613" s="38"/>
      <c r="AY613" s="38"/>
      <c r="AZ613" s="6" t="s">
        <v>57</v>
      </c>
      <c r="BA613" s="38"/>
      <c r="BB613" s="6"/>
      <c r="BC613" s="6"/>
      <c r="BD613" s="6"/>
      <c r="BE613" s="6"/>
      <c r="BF613" s="6"/>
      <c r="BG613" s="6"/>
      <c r="BH613" s="6"/>
      <c r="BI613" s="6"/>
      <c r="BJ613" s="6"/>
      <c r="BK613" s="6"/>
    </row>
    <row r="614" spans="1:63" s="19" customFormat="1" ht="15" x14ac:dyDescent="0.25">
      <c r="A614" s="52"/>
      <c r="B614" s="53" t="s">
        <v>58</v>
      </c>
      <c r="C614" s="104" t="s">
        <v>59</v>
      </c>
      <c r="D614" s="104"/>
      <c r="E614" s="104"/>
      <c r="F614" s="104"/>
      <c r="G614" s="104"/>
      <c r="H614" s="54" t="s">
        <v>60</v>
      </c>
      <c r="I614" s="58">
        <v>100</v>
      </c>
      <c r="J614" s="55"/>
      <c r="K614" s="58">
        <v>100</v>
      </c>
      <c r="L614" s="56"/>
      <c r="M614" s="55"/>
      <c r="N614" s="56"/>
      <c r="O614" s="55"/>
      <c r="P614" s="77">
        <v>35608.898999999998</v>
      </c>
      <c r="Q614"/>
      <c r="R614"/>
      <c r="S614"/>
      <c r="T614">
        <f>T1812</f>
        <v>0</v>
      </c>
      <c r="U614" s="57">
        <v>30964.26</v>
      </c>
      <c r="V614"/>
      <c r="W614" s="55"/>
      <c r="X614"/>
      <c r="Y614"/>
      <c r="Z614"/>
      <c r="AA614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38"/>
      <c r="AW614" s="38"/>
      <c r="AX614" s="38"/>
      <c r="AY614" s="38"/>
      <c r="AZ614" s="6" t="s">
        <v>59</v>
      </c>
      <c r="BA614" s="38"/>
      <c r="BB614" s="6"/>
      <c r="BC614" s="6"/>
      <c r="BD614" s="6"/>
      <c r="BE614" s="6"/>
      <c r="BF614" s="6"/>
      <c r="BG614" s="6"/>
      <c r="BH614" s="6"/>
      <c r="BI614" s="6"/>
      <c r="BJ614" s="6"/>
      <c r="BK614" s="6"/>
    </row>
    <row r="615" spans="1:63" s="19" customFormat="1" ht="15" x14ac:dyDescent="0.25">
      <c r="A615" s="52"/>
      <c r="B615" s="53" t="s">
        <v>61</v>
      </c>
      <c r="C615" s="104" t="s">
        <v>62</v>
      </c>
      <c r="D615" s="104"/>
      <c r="E615" s="104"/>
      <c r="F615" s="104"/>
      <c r="G615" s="104"/>
      <c r="H615" s="54" t="s">
        <v>60</v>
      </c>
      <c r="I615" s="58">
        <v>49</v>
      </c>
      <c r="J615" s="55"/>
      <c r="K615" s="58">
        <v>49</v>
      </c>
      <c r="L615" s="56"/>
      <c r="M615" s="55"/>
      <c r="N615" s="56"/>
      <c r="O615" s="55"/>
      <c r="P615" s="77">
        <v>17448.363499999999</v>
      </c>
      <c r="Q615"/>
      <c r="R615"/>
      <c r="S615"/>
      <c r="T615">
        <f>T1812</f>
        <v>0</v>
      </c>
      <c r="U615" s="57">
        <v>15172.49</v>
      </c>
      <c r="V615"/>
      <c r="W615" s="58">
        <v>100</v>
      </c>
      <c r="X615"/>
      <c r="Y615"/>
      <c r="Z615"/>
      <c r="AA615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38"/>
      <c r="AW615" s="38"/>
      <c r="AX615" s="38"/>
      <c r="AY615" s="38"/>
      <c r="AZ615" s="6" t="s">
        <v>62</v>
      </c>
      <c r="BA615" s="38"/>
      <c r="BB615" s="6"/>
      <c r="BC615" s="6"/>
      <c r="BD615" s="6"/>
      <c r="BE615" s="6"/>
      <c r="BF615" s="6"/>
      <c r="BG615" s="6"/>
      <c r="BH615" s="6"/>
      <c r="BI615" s="6"/>
      <c r="BJ615" s="6"/>
      <c r="BK615" s="6"/>
    </row>
    <row r="616" spans="1:63" s="19" customFormat="1" ht="15" x14ac:dyDescent="0.25">
      <c r="A616" s="59"/>
      <c r="B616" s="98"/>
      <c r="C616" s="102" t="s">
        <v>63</v>
      </c>
      <c r="D616" s="102"/>
      <c r="E616" s="102"/>
      <c r="F616" s="102"/>
      <c r="G616" s="102"/>
      <c r="H616" s="41"/>
      <c r="I616" s="42"/>
      <c r="J616" s="42"/>
      <c r="K616" s="42"/>
      <c r="L616" s="45"/>
      <c r="M616" s="42"/>
      <c r="N616" s="49">
        <v>206045.67</v>
      </c>
      <c r="O616" s="42"/>
      <c r="P616" s="50">
        <v>108998.15766666667</v>
      </c>
      <c r="Q616"/>
      <c r="R616"/>
      <c r="S616"/>
      <c r="T616">
        <f>T1812</f>
        <v>0</v>
      </c>
      <c r="U616" s="50">
        <f>80357.81*(K611/W612)</f>
        <v>8039901.913333334</v>
      </c>
      <c r="V616"/>
      <c r="W616" s="58">
        <v>49</v>
      </c>
      <c r="X616"/>
      <c r="Y616"/>
      <c r="Z616"/>
      <c r="AA61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38"/>
      <c r="AW616" s="38"/>
      <c r="AX616" s="38"/>
      <c r="AY616" s="38"/>
      <c r="AZ616" s="6"/>
      <c r="BA616" s="38" t="s">
        <v>63</v>
      </c>
      <c r="BB616" s="6"/>
      <c r="BC616" s="6"/>
      <c r="BD616" s="6"/>
      <c r="BE616" s="6"/>
      <c r="BF616" s="6"/>
      <c r="BG616" s="6"/>
      <c r="BH616" s="6"/>
      <c r="BI616" s="6"/>
      <c r="BJ616" s="6"/>
      <c r="BK616" s="6"/>
    </row>
    <row r="617" spans="1:63" s="19" customFormat="1" ht="23.25" x14ac:dyDescent="0.25">
      <c r="A617" s="39" t="s">
        <v>665</v>
      </c>
      <c r="B617" s="97" t="s">
        <v>143</v>
      </c>
      <c r="C617" s="103" t="s">
        <v>144</v>
      </c>
      <c r="D617" s="103"/>
      <c r="E617" s="103"/>
      <c r="F617" s="103"/>
      <c r="G617" s="103"/>
      <c r="H617" s="41" t="s">
        <v>105</v>
      </c>
      <c r="I617" s="42">
        <v>39.799999999999997</v>
      </c>
      <c r="J617" s="43">
        <v>1</v>
      </c>
      <c r="K617" s="67">
        <v>39.799999999999997</v>
      </c>
      <c r="L617" s="61">
        <v>498.7</v>
      </c>
      <c r="M617" s="62">
        <v>1.22</v>
      </c>
      <c r="N617" s="61">
        <v>608.41</v>
      </c>
      <c r="O617" s="42"/>
      <c r="P617" s="50">
        <v>27287.1885</v>
      </c>
      <c r="Q617"/>
      <c r="R617"/>
      <c r="S617"/>
      <c r="T617">
        <f>T1812</f>
        <v>0</v>
      </c>
      <c r="U617" s="50">
        <f>U618</f>
        <v>24214.718000000001</v>
      </c>
      <c r="V617"/>
      <c r="W617" s="42"/>
      <c r="X617"/>
      <c r="Y617"/>
      <c r="Z617"/>
      <c r="AA617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38"/>
      <c r="AW617" s="38"/>
      <c r="AX617" s="38" t="s">
        <v>144</v>
      </c>
      <c r="AY617" s="38"/>
      <c r="AZ617" s="6"/>
      <c r="BA617" s="38"/>
      <c r="BB617" s="6"/>
      <c r="BC617" s="6"/>
      <c r="BD617" s="6"/>
      <c r="BE617" s="6"/>
      <c r="BF617" s="6"/>
      <c r="BG617" s="6"/>
      <c r="BH617" s="6"/>
      <c r="BI617" s="6"/>
      <c r="BJ617" s="6"/>
      <c r="BK617" s="6"/>
    </row>
    <row r="618" spans="1:63" s="19" customFormat="1" ht="15" x14ac:dyDescent="0.25">
      <c r="A618" s="59"/>
      <c r="B618" s="98"/>
      <c r="C618" s="102" t="s">
        <v>63</v>
      </c>
      <c r="D618" s="102"/>
      <c r="E618" s="102"/>
      <c r="F618" s="102"/>
      <c r="G618" s="102"/>
      <c r="H618" s="41"/>
      <c r="I618" s="42"/>
      <c r="J618" s="42"/>
      <c r="K618" s="42"/>
      <c r="L618" s="45"/>
      <c r="M618" s="42"/>
      <c r="N618" s="45"/>
      <c r="O618" s="42"/>
      <c r="P618" s="50">
        <v>27287.1885</v>
      </c>
      <c r="Q618"/>
      <c r="R618"/>
      <c r="S618"/>
      <c r="T618">
        <f>T1812</f>
        <v>0</v>
      </c>
      <c r="U618" s="50">
        <f>23727.99*(K617/W618)</f>
        <v>24214.718000000001</v>
      </c>
      <c r="V618"/>
      <c r="W618" s="43">
        <v>39</v>
      </c>
      <c r="X618"/>
      <c r="Y618"/>
      <c r="Z618"/>
      <c r="AA618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38"/>
      <c r="AW618" s="38"/>
      <c r="AX618" s="38"/>
      <c r="AY618" s="38"/>
      <c r="AZ618" s="6"/>
      <c r="BA618" s="38" t="s">
        <v>63</v>
      </c>
      <c r="BB618" s="6"/>
      <c r="BC618" s="6"/>
      <c r="BD618" s="6"/>
      <c r="BE618" s="6"/>
      <c r="BF618" s="6"/>
      <c r="BG618" s="6"/>
      <c r="BH618" s="6"/>
      <c r="BI618" s="6"/>
      <c r="BJ618" s="6"/>
      <c r="BK618" s="6"/>
    </row>
    <row r="619" spans="1:63" s="19" customFormat="1" ht="15" x14ac:dyDescent="0.25">
      <c r="A619" s="107" t="s">
        <v>145</v>
      </c>
      <c r="B619" s="108"/>
      <c r="C619" s="108"/>
      <c r="D619" s="108"/>
      <c r="E619" s="108"/>
      <c r="F619" s="108"/>
      <c r="G619" s="108"/>
      <c r="H619" s="108"/>
      <c r="I619" s="108"/>
      <c r="J619" s="108"/>
      <c r="K619" s="108"/>
      <c r="L619" s="108"/>
      <c r="M619" s="108"/>
      <c r="N619" s="108"/>
      <c r="O619" s="108"/>
      <c r="P619" s="109"/>
      <c r="Q619"/>
      <c r="R619"/>
      <c r="S619"/>
      <c r="T619"/>
      <c r="U619"/>
      <c r="V619"/>
      <c r="W619"/>
      <c r="X619"/>
      <c r="Y619"/>
      <c r="Z619"/>
      <c r="AA619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38"/>
      <c r="AW619" s="38" t="s">
        <v>145</v>
      </c>
      <c r="AX619" s="38"/>
      <c r="AY619" s="38"/>
      <c r="AZ619" s="6"/>
      <c r="BA619" s="38"/>
      <c r="BB619" s="6"/>
      <c r="BC619" s="6"/>
      <c r="BD619" s="6"/>
      <c r="BE619" s="6"/>
      <c r="BF619" s="6"/>
      <c r="BG619" s="6"/>
      <c r="BH619" s="6"/>
      <c r="BI619" s="6"/>
      <c r="BJ619" s="6"/>
      <c r="BK619" s="6"/>
    </row>
    <row r="620" spans="1:63" s="19" customFormat="1" ht="23.25" x14ac:dyDescent="0.25">
      <c r="A620" s="39" t="s">
        <v>666</v>
      </c>
      <c r="B620" s="97" t="s">
        <v>147</v>
      </c>
      <c r="C620" s="103" t="s">
        <v>148</v>
      </c>
      <c r="D620" s="103"/>
      <c r="E620" s="103"/>
      <c r="F620" s="103"/>
      <c r="G620" s="103"/>
      <c r="H620" s="41" t="s">
        <v>55</v>
      </c>
      <c r="I620" s="42">
        <v>2.9520000000000001E-2</v>
      </c>
      <c r="J620" s="43">
        <v>1</v>
      </c>
      <c r="K620" s="69">
        <v>2.9520000000000001E-2</v>
      </c>
      <c r="L620" s="45"/>
      <c r="M620" s="42"/>
      <c r="N620" s="45"/>
      <c r="O620" s="42"/>
      <c r="P620" s="46"/>
      <c r="Q620"/>
      <c r="R620"/>
      <c r="S620"/>
      <c r="T620"/>
      <c r="U620"/>
      <c r="V620"/>
      <c r="W620" s="69">
        <v>2.9520000000000001E-2</v>
      </c>
      <c r="X620"/>
      <c r="Y620"/>
      <c r="Z620"/>
      <c r="AA620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38"/>
      <c r="AW620" s="38"/>
      <c r="AX620" s="38" t="s">
        <v>148</v>
      </c>
      <c r="AY620" s="38"/>
      <c r="AZ620" s="6"/>
      <c r="BA620" s="38"/>
      <c r="BB620" s="6"/>
      <c r="BC620" s="6"/>
      <c r="BD620" s="6"/>
      <c r="BE620" s="6"/>
      <c r="BF620" s="6"/>
      <c r="BG620" s="6"/>
      <c r="BH620" s="6"/>
      <c r="BI620" s="6"/>
      <c r="BJ620" s="6"/>
      <c r="BK620" s="6"/>
    </row>
    <row r="621" spans="1:63" s="19" customFormat="1" ht="15" x14ac:dyDescent="0.25">
      <c r="A621" s="47"/>
      <c r="B621" s="48"/>
      <c r="C621" s="102" t="s">
        <v>56</v>
      </c>
      <c r="D621" s="102"/>
      <c r="E621" s="102"/>
      <c r="F621" s="102"/>
      <c r="G621" s="102"/>
      <c r="H621" s="41"/>
      <c r="I621" s="42"/>
      <c r="J621" s="42"/>
      <c r="K621" s="42"/>
      <c r="L621" s="45"/>
      <c r="M621" s="42"/>
      <c r="N621" s="49"/>
      <c r="O621" s="42"/>
      <c r="P621" s="50">
        <v>1189.0539999999999</v>
      </c>
      <c r="Q621" s="51"/>
      <c r="R621" s="51"/>
      <c r="S621"/>
      <c r="T621">
        <f>T1812</f>
        <v>0</v>
      </c>
      <c r="U621" s="50">
        <v>1033.96</v>
      </c>
      <c r="V621"/>
      <c r="W621" s="42"/>
      <c r="X621"/>
      <c r="Y621"/>
      <c r="Z621"/>
      <c r="AA621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38"/>
      <c r="AW621" s="38"/>
      <c r="AX621" s="38"/>
      <c r="AY621" s="38" t="s">
        <v>56</v>
      </c>
      <c r="AZ621" s="6"/>
      <c r="BA621" s="38"/>
      <c r="BB621" s="6"/>
      <c r="BC621" s="6"/>
      <c r="BD621" s="6"/>
      <c r="BE621" s="6"/>
      <c r="BF621" s="6"/>
      <c r="BG621" s="6"/>
      <c r="BH621" s="6"/>
      <c r="BI621" s="6"/>
      <c r="BJ621" s="6"/>
      <c r="BK621" s="6"/>
    </row>
    <row r="622" spans="1:63" s="19" customFormat="1" ht="15" x14ac:dyDescent="0.25">
      <c r="A622" s="52"/>
      <c r="B622" s="53"/>
      <c r="C622" s="104" t="s">
        <v>57</v>
      </c>
      <c r="D622" s="104"/>
      <c r="E622" s="104"/>
      <c r="F622" s="104"/>
      <c r="G622" s="104"/>
      <c r="H622" s="54"/>
      <c r="I622" s="55"/>
      <c r="J622" s="55"/>
      <c r="K622" s="55"/>
      <c r="L622" s="56"/>
      <c r="M622" s="55"/>
      <c r="N622" s="56"/>
      <c r="O622" s="55"/>
      <c r="P622" s="77">
        <v>1176.5994999999998</v>
      </c>
      <c r="Q622"/>
      <c r="R622"/>
      <c r="S622"/>
      <c r="T622">
        <f>T1812</f>
        <v>0</v>
      </c>
      <c r="U622" s="57">
        <v>1023.13</v>
      </c>
      <c r="V622"/>
      <c r="W622" s="55"/>
      <c r="X622"/>
      <c r="Y622"/>
      <c r="Z622"/>
      <c r="AA622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38"/>
      <c r="AW622" s="38"/>
      <c r="AX622" s="38"/>
      <c r="AY622" s="38"/>
      <c r="AZ622" s="6" t="s">
        <v>57</v>
      </c>
      <c r="BA622" s="38"/>
      <c r="BB622" s="6"/>
      <c r="BC622" s="6"/>
      <c r="BD622" s="6"/>
      <c r="BE622" s="6"/>
      <c r="BF622" s="6"/>
      <c r="BG622" s="6"/>
      <c r="BH622" s="6"/>
      <c r="BI622" s="6"/>
      <c r="BJ622" s="6"/>
      <c r="BK622" s="6"/>
    </row>
    <row r="623" spans="1:63" s="19" customFormat="1" ht="34.5" x14ac:dyDescent="0.25">
      <c r="A623" s="52"/>
      <c r="B623" s="53" t="s">
        <v>149</v>
      </c>
      <c r="C623" s="104" t="s">
        <v>150</v>
      </c>
      <c r="D623" s="104"/>
      <c r="E623" s="104"/>
      <c r="F623" s="104"/>
      <c r="G623" s="104"/>
      <c r="H623" s="54" t="s">
        <v>60</v>
      </c>
      <c r="I623" s="58">
        <v>91</v>
      </c>
      <c r="J623" s="55"/>
      <c r="K623" s="58">
        <v>91</v>
      </c>
      <c r="L623" s="56"/>
      <c r="M623" s="55"/>
      <c r="N623" s="56"/>
      <c r="O623" s="55"/>
      <c r="P623" s="77">
        <v>1070.7074999999998</v>
      </c>
      <c r="Q623"/>
      <c r="R623"/>
      <c r="S623"/>
      <c r="T623">
        <f>T1812</f>
        <v>0</v>
      </c>
      <c r="U623" s="65">
        <v>931.05</v>
      </c>
      <c r="V623"/>
      <c r="W623" s="58">
        <v>91</v>
      </c>
      <c r="X623"/>
      <c r="Y623"/>
      <c r="Z623"/>
      <c r="AA623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38"/>
      <c r="AW623" s="38"/>
      <c r="AX623" s="38"/>
      <c r="AY623" s="38"/>
      <c r="AZ623" s="6" t="s">
        <v>150</v>
      </c>
      <c r="BA623" s="38"/>
      <c r="BB623" s="6"/>
      <c r="BC623" s="6"/>
      <c r="BD623" s="6"/>
      <c r="BE623" s="6"/>
      <c r="BF623" s="6"/>
      <c r="BG623" s="6"/>
      <c r="BH623" s="6"/>
      <c r="BI623" s="6"/>
      <c r="BJ623" s="6"/>
      <c r="BK623" s="6"/>
    </row>
    <row r="624" spans="1:63" s="19" customFormat="1" ht="34.5" x14ac:dyDescent="0.25">
      <c r="A624" s="52"/>
      <c r="B624" s="53" t="s">
        <v>151</v>
      </c>
      <c r="C624" s="104" t="s">
        <v>152</v>
      </c>
      <c r="D624" s="104"/>
      <c r="E624" s="104"/>
      <c r="F624" s="104"/>
      <c r="G624" s="104"/>
      <c r="H624" s="54" t="s">
        <v>60</v>
      </c>
      <c r="I624" s="58">
        <v>52</v>
      </c>
      <c r="J624" s="55"/>
      <c r="K624" s="58">
        <v>52</v>
      </c>
      <c r="L624" s="56"/>
      <c r="M624" s="55"/>
      <c r="N624" s="56"/>
      <c r="O624" s="55"/>
      <c r="P624" s="77">
        <v>611.83449999999993</v>
      </c>
      <c r="Q624"/>
      <c r="R624"/>
      <c r="S624"/>
      <c r="T624">
        <f>T1812</f>
        <v>0</v>
      </c>
      <c r="U624" s="65">
        <v>532.03</v>
      </c>
      <c r="V624"/>
      <c r="W624" s="58">
        <v>52</v>
      </c>
      <c r="X624"/>
      <c r="Y624"/>
      <c r="Z624"/>
      <c r="AA624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38"/>
      <c r="AW624" s="38"/>
      <c r="AX624" s="38"/>
      <c r="AY624" s="38"/>
      <c r="AZ624" s="6" t="s">
        <v>152</v>
      </c>
      <c r="BA624" s="38"/>
      <c r="BB624" s="6"/>
      <c r="BC624" s="6"/>
      <c r="BD624" s="6"/>
      <c r="BE624" s="6"/>
      <c r="BF624" s="6"/>
      <c r="BG624" s="6"/>
      <c r="BH624" s="6"/>
      <c r="BI624" s="6"/>
      <c r="BJ624" s="6"/>
      <c r="BK624" s="6"/>
    </row>
    <row r="625" spans="1:63" s="19" customFormat="1" ht="15" x14ac:dyDescent="0.25">
      <c r="A625" s="59"/>
      <c r="B625" s="98"/>
      <c r="C625" s="102" t="s">
        <v>63</v>
      </c>
      <c r="D625" s="102"/>
      <c r="E625" s="102"/>
      <c r="F625" s="102"/>
      <c r="G625" s="102"/>
      <c r="H625" s="41"/>
      <c r="I625" s="42"/>
      <c r="J625" s="42"/>
      <c r="K625" s="42"/>
      <c r="L625" s="45"/>
      <c r="M625" s="42"/>
      <c r="N625" s="49">
        <v>84588.08</v>
      </c>
      <c r="O625" s="42"/>
      <c r="P625" s="50">
        <v>2871.5959999999995</v>
      </c>
      <c r="Q625"/>
      <c r="R625"/>
      <c r="S625"/>
      <c r="T625">
        <f>T1812</f>
        <v>0</v>
      </c>
      <c r="U625" s="50">
        <f>2497.04*(K620/W620)</f>
        <v>2497.04</v>
      </c>
      <c r="V625"/>
      <c r="W625" s="42"/>
      <c r="X625"/>
      <c r="Y625"/>
      <c r="Z625"/>
      <c r="AA625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38"/>
      <c r="AW625" s="38"/>
      <c r="AX625" s="38"/>
      <c r="AY625" s="38"/>
      <c r="AZ625" s="6"/>
      <c r="BA625" s="38" t="s">
        <v>63</v>
      </c>
      <c r="BB625" s="6"/>
      <c r="BC625" s="6"/>
      <c r="BD625" s="6"/>
      <c r="BE625" s="6"/>
      <c r="BF625" s="6"/>
      <c r="BG625" s="6"/>
      <c r="BH625" s="6"/>
      <c r="BI625" s="6"/>
      <c r="BJ625" s="6"/>
      <c r="BK625" s="6"/>
    </row>
    <row r="626" spans="1:63" s="19" customFormat="1" ht="23.25" x14ac:dyDescent="0.25">
      <c r="A626" s="39" t="s">
        <v>667</v>
      </c>
      <c r="B626" s="97" t="s">
        <v>154</v>
      </c>
      <c r="C626" s="103" t="s">
        <v>155</v>
      </c>
      <c r="D626" s="103"/>
      <c r="E626" s="103"/>
      <c r="F626" s="103"/>
      <c r="G626" s="103"/>
      <c r="H626" s="41" t="s">
        <v>55</v>
      </c>
      <c r="I626" s="42">
        <v>0.17399999999999999</v>
      </c>
      <c r="J626" s="43">
        <v>1</v>
      </c>
      <c r="K626" s="69">
        <v>1.7399999999999999E-2</v>
      </c>
      <c r="L626" s="45"/>
      <c r="M626" s="42"/>
      <c r="N626" s="45"/>
      <c r="O626" s="42"/>
      <c r="P626" s="50"/>
      <c r="Q626"/>
      <c r="R626"/>
      <c r="S626"/>
      <c r="T626"/>
      <c r="U626" s="46"/>
      <c r="V626"/>
      <c r="W626" s="69">
        <v>2.9520000000000001E-2</v>
      </c>
      <c r="X626"/>
      <c r="Y626"/>
      <c r="Z626"/>
      <c r="AA62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38"/>
      <c r="AW626" s="38"/>
      <c r="AX626" s="38" t="s">
        <v>155</v>
      </c>
      <c r="AY626" s="38"/>
      <c r="AZ626" s="6"/>
      <c r="BA626" s="38"/>
      <c r="BB626" s="6"/>
      <c r="BC626" s="6"/>
      <c r="BD626" s="6"/>
      <c r="BE626" s="6"/>
      <c r="BF626" s="6"/>
      <c r="BG626" s="6"/>
      <c r="BH626" s="6"/>
      <c r="BI626" s="6"/>
      <c r="BJ626" s="6"/>
      <c r="BK626" s="6"/>
    </row>
    <row r="627" spans="1:63" s="19" customFormat="1" ht="15" x14ac:dyDescent="0.25">
      <c r="A627" s="47"/>
      <c r="B627" s="48"/>
      <c r="C627" s="102" t="s">
        <v>56</v>
      </c>
      <c r="D627" s="102"/>
      <c r="E627" s="102"/>
      <c r="F627" s="102"/>
      <c r="G627" s="102"/>
      <c r="H627" s="41"/>
      <c r="I627" s="42"/>
      <c r="J627" s="42"/>
      <c r="K627" s="42"/>
      <c r="L627" s="45"/>
      <c r="M627" s="42"/>
      <c r="N627" s="49"/>
      <c r="O627" s="42"/>
      <c r="P627" s="50">
        <v>4647.6214999999993</v>
      </c>
      <c r="Q627" s="51"/>
      <c r="R627" s="51"/>
      <c r="S627"/>
      <c r="T627">
        <f>T1812</f>
        <v>0</v>
      </c>
      <c r="U627" s="50">
        <v>4041.41</v>
      </c>
      <c r="V627"/>
      <c r="W627" s="42"/>
      <c r="X627"/>
      <c r="Y627"/>
      <c r="Z627"/>
      <c r="AA627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38"/>
      <c r="AW627" s="38"/>
      <c r="AX627" s="38"/>
      <c r="AY627" s="38" t="s">
        <v>56</v>
      </c>
      <c r="AZ627" s="6"/>
      <c r="BA627" s="38"/>
      <c r="BB627" s="6"/>
      <c r="BC627" s="6"/>
      <c r="BD627" s="6"/>
      <c r="BE627" s="6"/>
      <c r="BF627" s="6"/>
      <c r="BG627" s="6"/>
      <c r="BH627" s="6"/>
      <c r="BI627" s="6"/>
      <c r="BJ627" s="6"/>
      <c r="BK627" s="6"/>
    </row>
    <row r="628" spans="1:63" s="19" customFormat="1" ht="15" x14ac:dyDescent="0.25">
      <c r="A628" s="52"/>
      <c r="B628" s="53"/>
      <c r="C628" s="104" t="s">
        <v>57</v>
      </c>
      <c r="D628" s="104"/>
      <c r="E628" s="104"/>
      <c r="F628" s="104"/>
      <c r="G628" s="104"/>
      <c r="H628" s="54"/>
      <c r="I628" s="55"/>
      <c r="J628" s="55"/>
      <c r="K628" s="55"/>
      <c r="L628" s="56"/>
      <c r="M628" s="55"/>
      <c r="N628" s="56"/>
      <c r="O628" s="55"/>
      <c r="P628" s="77">
        <v>2636.3979999999997</v>
      </c>
      <c r="Q628"/>
      <c r="R628"/>
      <c r="S628"/>
      <c r="T628">
        <f>T1812</f>
        <v>0</v>
      </c>
      <c r="U628" s="57">
        <v>2292.52</v>
      </c>
      <c r="V628"/>
      <c r="W628" s="55"/>
      <c r="X628"/>
      <c r="Y628"/>
      <c r="Z628"/>
      <c r="AA628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38"/>
      <c r="AW628" s="38"/>
      <c r="AX628" s="38"/>
      <c r="AY628" s="38"/>
      <c r="AZ628" s="6" t="s">
        <v>57</v>
      </c>
      <c r="BA628" s="38"/>
      <c r="BB628" s="6"/>
      <c r="BC628" s="6"/>
      <c r="BD628" s="6"/>
      <c r="BE628" s="6"/>
      <c r="BF628" s="6"/>
      <c r="BG628" s="6"/>
      <c r="BH628" s="6"/>
      <c r="BI628" s="6"/>
      <c r="BJ628" s="6"/>
      <c r="BK628" s="6"/>
    </row>
    <row r="629" spans="1:63" s="19" customFormat="1" ht="15" x14ac:dyDescent="0.25">
      <c r="A629" s="52"/>
      <c r="B629" s="53" t="s">
        <v>98</v>
      </c>
      <c r="C629" s="104" t="s">
        <v>99</v>
      </c>
      <c r="D629" s="104"/>
      <c r="E629" s="104"/>
      <c r="F629" s="104"/>
      <c r="G629" s="104"/>
      <c r="H629" s="54" t="s">
        <v>60</v>
      </c>
      <c r="I629" s="58">
        <v>108</v>
      </c>
      <c r="J629" s="55"/>
      <c r="K629" s="58">
        <v>108</v>
      </c>
      <c r="L629" s="56"/>
      <c r="M629" s="55"/>
      <c r="N629" s="56"/>
      <c r="O629" s="55"/>
      <c r="P629" s="77">
        <v>2847.308</v>
      </c>
      <c r="Q629"/>
      <c r="R629"/>
      <c r="S629"/>
      <c r="T629">
        <f>T1812</f>
        <v>0</v>
      </c>
      <c r="U629" s="57">
        <v>2475.92</v>
      </c>
      <c r="V629"/>
      <c r="W629" s="58">
        <v>108</v>
      </c>
      <c r="X629"/>
      <c r="Y629"/>
      <c r="Z629"/>
      <c r="AA629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38"/>
      <c r="AW629" s="38"/>
      <c r="AX629" s="38"/>
      <c r="AY629" s="38"/>
      <c r="AZ629" s="6" t="s">
        <v>99</v>
      </c>
      <c r="BA629" s="38"/>
      <c r="BB629" s="6"/>
      <c r="BC629" s="6"/>
      <c r="BD629" s="6"/>
      <c r="BE629" s="6"/>
      <c r="BF629" s="6"/>
      <c r="BG629" s="6"/>
      <c r="BH629" s="6"/>
      <c r="BI629" s="6"/>
      <c r="BJ629" s="6"/>
      <c r="BK629" s="6"/>
    </row>
    <row r="630" spans="1:63" s="19" customFormat="1" ht="15" x14ac:dyDescent="0.25">
      <c r="A630" s="52"/>
      <c r="B630" s="53" t="s">
        <v>100</v>
      </c>
      <c r="C630" s="104" t="s">
        <v>101</v>
      </c>
      <c r="D630" s="104"/>
      <c r="E630" s="104"/>
      <c r="F630" s="104"/>
      <c r="G630" s="104"/>
      <c r="H630" s="54" t="s">
        <v>60</v>
      </c>
      <c r="I630" s="58">
        <v>55</v>
      </c>
      <c r="J630" s="55"/>
      <c r="K630" s="58">
        <v>55</v>
      </c>
      <c r="L630" s="56"/>
      <c r="M630" s="55"/>
      <c r="N630" s="56"/>
      <c r="O630" s="55"/>
      <c r="P630" s="77">
        <v>1450.0235</v>
      </c>
      <c r="Q630"/>
      <c r="R630"/>
      <c r="S630"/>
      <c r="T630">
        <f>T1812</f>
        <v>0</v>
      </c>
      <c r="U630" s="57">
        <v>1260.8900000000001</v>
      </c>
      <c r="V630"/>
      <c r="W630" s="58">
        <v>55</v>
      </c>
      <c r="X630"/>
      <c r="Y630"/>
      <c r="Z630"/>
      <c r="AA630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38"/>
      <c r="AW630" s="38"/>
      <c r="AX630" s="38"/>
      <c r="AY630" s="38"/>
      <c r="AZ630" s="6" t="s">
        <v>101</v>
      </c>
      <c r="BA630" s="38"/>
      <c r="BB630" s="6"/>
      <c r="BC630" s="6"/>
      <c r="BD630" s="6"/>
      <c r="BE630" s="6"/>
      <c r="BF630" s="6"/>
      <c r="BG630" s="6"/>
      <c r="BH630" s="6"/>
      <c r="BI630" s="6"/>
      <c r="BJ630" s="6"/>
      <c r="BK630" s="6"/>
    </row>
    <row r="631" spans="1:63" s="19" customFormat="1" ht="15" x14ac:dyDescent="0.25">
      <c r="A631" s="59"/>
      <c r="B631" s="98"/>
      <c r="C631" s="102" t="s">
        <v>63</v>
      </c>
      <c r="D631" s="102"/>
      <c r="E631" s="102"/>
      <c r="F631" s="102"/>
      <c r="G631" s="102"/>
      <c r="H631" s="41"/>
      <c r="I631" s="42"/>
      <c r="J631" s="42"/>
      <c r="K631" s="42"/>
      <c r="L631" s="45"/>
      <c r="M631" s="42"/>
      <c r="N631" s="49">
        <v>263489.84000000003</v>
      </c>
      <c r="O631" s="42"/>
      <c r="P631" s="50">
        <v>7696.5381504065026</v>
      </c>
      <c r="Q631"/>
      <c r="R631"/>
      <c r="S631"/>
      <c r="T631">
        <f>T1812</f>
        <v>0</v>
      </c>
      <c r="U631" s="50">
        <f>7778.22*(K626/W626)</f>
        <v>4584.7231707317069</v>
      </c>
      <c r="V631"/>
      <c r="W631" s="42"/>
      <c r="X631"/>
      <c r="Y631"/>
      <c r="Z631"/>
      <c r="AA631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38"/>
      <c r="AW631" s="38"/>
      <c r="AX631" s="38"/>
      <c r="AY631" s="38"/>
      <c r="AZ631" s="6"/>
      <c r="BA631" s="38" t="s">
        <v>63</v>
      </c>
      <c r="BB631" s="6"/>
      <c r="BC631" s="6"/>
      <c r="BD631" s="6"/>
      <c r="BE631" s="6"/>
      <c r="BF631" s="6"/>
      <c r="BG631" s="6"/>
      <c r="BH631" s="6"/>
      <c r="BI631" s="6"/>
      <c r="BJ631" s="6"/>
      <c r="BK631" s="6"/>
    </row>
    <row r="632" spans="1:63" s="19" customFormat="1" ht="45.75" x14ac:dyDescent="0.25">
      <c r="A632" s="39" t="s">
        <v>668</v>
      </c>
      <c r="B632" s="97" t="s">
        <v>157</v>
      </c>
      <c r="C632" s="103" t="s">
        <v>158</v>
      </c>
      <c r="D632" s="103"/>
      <c r="E632" s="103"/>
      <c r="F632" s="103"/>
      <c r="G632" s="103"/>
      <c r="H632" s="41" t="s">
        <v>105</v>
      </c>
      <c r="I632" s="42">
        <v>0.17399999999999999</v>
      </c>
      <c r="J632" s="43">
        <v>1</v>
      </c>
      <c r="K632" s="66">
        <v>0.17399999999999999</v>
      </c>
      <c r="L632" s="49">
        <v>8723.2999999999993</v>
      </c>
      <c r="M632" s="62">
        <v>1.17</v>
      </c>
      <c r="N632" s="49">
        <v>10206.26</v>
      </c>
      <c r="O632" s="42"/>
      <c r="P632" s="50">
        <v>35774.98312195122</v>
      </c>
      <c r="Q632"/>
      <c r="R632"/>
      <c r="S632"/>
      <c r="T632">
        <f>T1812</f>
        <v>0</v>
      </c>
      <c r="U632" s="50">
        <f>U633</f>
        <v>2131.0671219512196</v>
      </c>
      <c r="V632"/>
      <c r="W632" s="66">
        <v>2.952</v>
      </c>
      <c r="X632"/>
      <c r="Y632"/>
      <c r="Z632"/>
      <c r="AA632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38"/>
      <c r="AW632" s="38"/>
      <c r="AX632" s="38" t="s">
        <v>158</v>
      </c>
      <c r="AY632" s="38"/>
      <c r="AZ632" s="6"/>
      <c r="BA632" s="38"/>
      <c r="BB632" s="6"/>
      <c r="BC632" s="6"/>
      <c r="BD632" s="6"/>
      <c r="BE632" s="6"/>
      <c r="BF632" s="6"/>
      <c r="BG632" s="6"/>
      <c r="BH632" s="6"/>
      <c r="BI632" s="6"/>
      <c r="BJ632" s="6"/>
      <c r="BK632" s="6"/>
    </row>
    <row r="633" spans="1:63" s="19" customFormat="1" ht="15" x14ac:dyDescent="0.25">
      <c r="A633" s="59"/>
      <c r="B633" s="98"/>
      <c r="C633" s="102" t="s">
        <v>63</v>
      </c>
      <c r="D633" s="102"/>
      <c r="E633" s="102"/>
      <c r="F633" s="102"/>
      <c r="G633" s="102"/>
      <c r="H633" s="41"/>
      <c r="I633" s="42"/>
      <c r="J633" s="42"/>
      <c r="K633" s="42"/>
      <c r="L633" s="45"/>
      <c r="M633" s="42"/>
      <c r="N633" s="45"/>
      <c r="O633" s="42"/>
      <c r="P633" s="50">
        <v>35774.98312195122</v>
      </c>
      <c r="Q633"/>
      <c r="R633"/>
      <c r="S633"/>
      <c r="T633">
        <f>T1812</f>
        <v>0</v>
      </c>
      <c r="U633" s="50">
        <f>1.2*30128.88*(K632/W632)</f>
        <v>2131.0671219512196</v>
      </c>
      <c r="V633"/>
      <c r="X633"/>
      <c r="Y633"/>
      <c r="Z633"/>
      <c r="AA633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38"/>
      <c r="AW633" s="38"/>
      <c r="AX633" s="38"/>
      <c r="AY633" s="38"/>
      <c r="AZ633" s="6"/>
      <c r="BA633" s="38" t="s">
        <v>63</v>
      </c>
      <c r="BB633" s="6"/>
      <c r="BC633" s="6"/>
      <c r="BD633" s="6"/>
      <c r="BE633" s="6"/>
      <c r="BF633" s="6"/>
      <c r="BG633" s="6"/>
      <c r="BH633" s="6"/>
      <c r="BI633" s="6"/>
      <c r="BJ633" s="6"/>
      <c r="BK633" s="6"/>
    </row>
    <row r="634" spans="1:63" s="19" customFormat="1" ht="15" x14ac:dyDescent="0.25">
      <c r="A634" s="107" t="s">
        <v>159</v>
      </c>
      <c r="B634" s="108"/>
      <c r="C634" s="108"/>
      <c r="D634" s="108"/>
      <c r="E634" s="108"/>
      <c r="F634" s="108"/>
      <c r="G634" s="108"/>
      <c r="H634" s="108"/>
      <c r="I634" s="108"/>
      <c r="J634" s="108"/>
      <c r="K634" s="108"/>
      <c r="L634" s="108"/>
      <c r="M634" s="108"/>
      <c r="N634" s="108"/>
      <c r="O634" s="108"/>
      <c r="P634" s="109"/>
      <c r="Q634"/>
      <c r="R634"/>
      <c r="S634"/>
      <c r="T634"/>
      <c r="U634"/>
      <c r="V634"/>
      <c r="W634"/>
      <c r="X634"/>
      <c r="Y634"/>
      <c r="Z634"/>
      <c r="AA634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38"/>
      <c r="AW634" s="38" t="s">
        <v>159</v>
      </c>
      <c r="AX634" s="38"/>
      <c r="AY634" s="38"/>
      <c r="AZ634" s="6"/>
      <c r="BA634" s="38"/>
      <c r="BB634" s="6"/>
      <c r="BC634" s="6"/>
      <c r="BD634" s="6"/>
      <c r="BE634" s="6"/>
      <c r="BF634" s="6"/>
      <c r="BG634" s="6"/>
      <c r="BH634" s="6"/>
      <c r="BI634" s="6"/>
      <c r="BJ634" s="6"/>
      <c r="BK634" s="6"/>
    </row>
    <row r="635" spans="1:63" s="19" customFormat="1" ht="15" x14ac:dyDescent="0.25">
      <c r="A635" s="39" t="s">
        <v>669</v>
      </c>
      <c r="B635" s="97" t="s">
        <v>161</v>
      </c>
      <c r="C635" s="103" t="s">
        <v>162</v>
      </c>
      <c r="D635" s="103"/>
      <c r="E635" s="103"/>
      <c r="F635" s="103"/>
      <c r="G635" s="103"/>
      <c r="H635" s="41" t="s">
        <v>55</v>
      </c>
      <c r="I635" s="42">
        <v>0.14899999999999999</v>
      </c>
      <c r="J635" s="43">
        <v>1</v>
      </c>
      <c r="K635" s="44">
        <v>0.14899999999999999</v>
      </c>
      <c r="L635" s="45"/>
      <c r="M635" s="42"/>
      <c r="N635" s="45"/>
      <c r="O635" s="42"/>
      <c r="P635" s="46"/>
      <c r="Q635"/>
      <c r="R635"/>
      <c r="S635"/>
      <c r="T635"/>
      <c r="U635"/>
      <c r="V635"/>
      <c r="W635"/>
      <c r="X635"/>
      <c r="Y635"/>
      <c r="Z635"/>
      <c r="AA635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38"/>
      <c r="AW635" s="38"/>
      <c r="AX635" s="38" t="s">
        <v>162</v>
      </c>
      <c r="AY635" s="38"/>
      <c r="AZ635" s="6"/>
      <c r="BA635" s="38"/>
      <c r="BB635" s="6"/>
      <c r="BC635" s="6"/>
      <c r="BD635" s="6"/>
      <c r="BE635" s="6"/>
      <c r="BF635" s="6"/>
      <c r="BG635" s="6"/>
      <c r="BH635" s="6"/>
      <c r="BI635" s="6"/>
      <c r="BJ635" s="6"/>
      <c r="BK635" s="6"/>
    </row>
    <row r="636" spans="1:63" s="19" customFormat="1" ht="15" x14ac:dyDescent="0.25">
      <c r="A636" s="47"/>
      <c r="B636" s="48"/>
      <c r="C636" s="102" t="s">
        <v>56</v>
      </c>
      <c r="D636" s="102"/>
      <c r="E636" s="102"/>
      <c r="F636" s="102"/>
      <c r="G636" s="102"/>
      <c r="H636" s="41"/>
      <c r="I636" s="42"/>
      <c r="J636" s="42"/>
      <c r="K636" s="42"/>
      <c r="L636" s="45"/>
      <c r="M636" s="42"/>
      <c r="N636" s="49"/>
      <c r="O636" s="42"/>
      <c r="P636" s="50">
        <v>3882.768</v>
      </c>
      <c r="Q636" s="51"/>
      <c r="R636" s="51"/>
      <c r="S636"/>
      <c r="T636">
        <f>T1812</f>
        <v>0</v>
      </c>
      <c r="U636" s="50">
        <v>3376.32</v>
      </c>
      <c r="V636"/>
      <c r="W636" s="44">
        <v>0.182</v>
      </c>
      <c r="X636"/>
      <c r="Y636"/>
      <c r="Z636"/>
      <c r="AA63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38"/>
      <c r="AW636" s="38"/>
      <c r="AX636" s="38"/>
      <c r="AY636" s="38" t="s">
        <v>56</v>
      </c>
      <c r="AZ636" s="6"/>
      <c r="BA636" s="38"/>
      <c r="BB636" s="6"/>
      <c r="BC636" s="6"/>
      <c r="BD636" s="6"/>
      <c r="BE636" s="6"/>
      <c r="BF636" s="6"/>
      <c r="BG636" s="6"/>
      <c r="BH636" s="6"/>
      <c r="BI636" s="6"/>
      <c r="BJ636" s="6"/>
      <c r="BK636" s="6"/>
    </row>
    <row r="637" spans="1:63" s="19" customFormat="1" ht="15" x14ac:dyDescent="0.25">
      <c r="A637" s="52"/>
      <c r="B637" s="53"/>
      <c r="C637" s="104" t="s">
        <v>57</v>
      </c>
      <c r="D637" s="104"/>
      <c r="E637" s="104"/>
      <c r="F637" s="104"/>
      <c r="G637" s="104"/>
      <c r="H637" s="54"/>
      <c r="I637" s="55"/>
      <c r="J637" s="55"/>
      <c r="K637" s="55"/>
      <c r="L637" s="56"/>
      <c r="M637" s="55"/>
      <c r="N637" s="56"/>
      <c r="O637" s="55"/>
      <c r="P637" s="77">
        <v>3877.7194999999997</v>
      </c>
      <c r="Q637"/>
      <c r="R637"/>
      <c r="S637"/>
      <c r="T637">
        <f>T1812</f>
        <v>0</v>
      </c>
      <c r="U637" s="57">
        <v>3371.93</v>
      </c>
      <c r="V637"/>
      <c r="W637" s="42"/>
      <c r="X637"/>
      <c r="Y637"/>
      <c r="Z637"/>
      <c r="AA637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38"/>
      <c r="AW637" s="38"/>
      <c r="AX637" s="38"/>
      <c r="AY637" s="38"/>
      <c r="AZ637" s="6" t="s">
        <v>57</v>
      </c>
      <c r="BA637" s="38"/>
      <c r="BB637" s="6"/>
      <c r="BC637" s="6"/>
      <c r="BD637" s="6"/>
      <c r="BE637" s="6"/>
      <c r="BF637" s="6"/>
      <c r="BG637" s="6"/>
      <c r="BH637" s="6"/>
      <c r="BI637" s="6"/>
      <c r="BJ637" s="6"/>
      <c r="BK637" s="6"/>
    </row>
    <row r="638" spans="1:63" s="19" customFormat="1" ht="15" x14ac:dyDescent="0.25">
      <c r="A638" s="52"/>
      <c r="B638" s="53" t="s">
        <v>163</v>
      </c>
      <c r="C638" s="104" t="s">
        <v>164</v>
      </c>
      <c r="D638" s="104"/>
      <c r="E638" s="104"/>
      <c r="F638" s="104"/>
      <c r="G638" s="104"/>
      <c r="H638" s="54" t="s">
        <v>60</v>
      </c>
      <c r="I638" s="58">
        <v>89</v>
      </c>
      <c r="J638" s="55"/>
      <c r="K638" s="58">
        <v>89</v>
      </c>
      <c r="L638" s="56"/>
      <c r="M638" s="55"/>
      <c r="N638" s="56"/>
      <c r="O638" s="55"/>
      <c r="P638" s="77">
        <v>3451.1729999999998</v>
      </c>
      <c r="Q638"/>
      <c r="R638"/>
      <c r="S638"/>
      <c r="T638">
        <f>T1812</f>
        <v>0</v>
      </c>
      <c r="U638" s="57">
        <v>3001.02</v>
      </c>
      <c r="V638"/>
      <c r="W638" s="55"/>
      <c r="X638"/>
      <c r="Y638"/>
      <c r="Z638"/>
      <c r="AA638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38"/>
      <c r="AW638" s="38"/>
      <c r="AX638" s="38"/>
      <c r="AY638" s="38"/>
      <c r="AZ638" s="6" t="s">
        <v>164</v>
      </c>
      <c r="BA638" s="38"/>
      <c r="BB638" s="6"/>
      <c r="BC638" s="6"/>
      <c r="BD638" s="6"/>
      <c r="BE638" s="6"/>
      <c r="BF638" s="6"/>
      <c r="BG638" s="6"/>
      <c r="BH638" s="6"/>
      <c r="BI638" s="6"/>
      <c r="BJ638" s="6"/>
      <c r="BK638" s="6"/>
    </row>
    <row r="639" spans="1:63" s="19" customFormat="1" ht="15" x14ac:dyDescent="0.25">
      <c r="A639" s="52"/>
      <c r="B639" s="53" t="s">
        <v>165</v>
      </c>
      <c r="C639" s="104" t="s">
        <v>166</v>
      </c>
      <c r="D639" s="104"/>
      <c r="E639" s="104"/>
      <c r="F639" s="104"/>
      <c r="G639" s="104"/>
      <c r="H639" s="54" t="s">
        <v>60</v>
      </c>
      <c r="I639" s="58">
        <v>49</v>
      </c>
      <c r="J639" s="55"/>
      <c r="K639" s="58">
        <v>49</v>
      </c>
      <c r="L639" s="56"/>
      <c r="M639" s="55"/>
      <c r="N639" s="56"/>
      <c r="O639" s="55"/>
      <c r="P639" s="77">
        <v>1900.0874999999999</v>
      </c>
      <c r="Q639"/>
      <c r="R639"/>
      <c r="S639"/>
      <c r="T639">
        <f>T1812</f>
        <v>0</v>
      </c>
      <c r="U639" s="57">
        <v>1652.25</v>
      </c>
      <c r="V639"/>
      <c r="W639" s="58">
        <v>89</v>
      </c>
      <c r="X639"/>
      <c r="Y639"/>
      <c r="Z639"/>
      <c r="AA639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38"/>
      <c r="AW639" s="38"/>
      <c r="AX639" s="38"/>
      <c r="AY639" s="38"/>
      <c r="AZ639" s="6" t="s">
        <v>166</v>
      </c>
      <c r="BA639" s="38"/>
      <c r="BB639" s="6"/>
      <c r="BC639" s="6"/>
      <c r="BD639" s="6"/>
      <c r="BE639" s="6"/>
      <c r="BF639" s="6"/>
      <c r="BG639" s="6"/>
      <c r="BH639" s="6"/>
      <c r="BI639" s="6"/>
      <c r="BJ639" s="6"/>
      <c r="BK639" s="6"/>
    </row>
    <row r="640" spans="1:63" s="19" customFormat="1" ht="15" x14ac:dyDescent="0.25">
      <c r="A640" s="59"/>
      <c r="B640" s="98"/>
      <c r="C640" s="102" t="s">
        <v>63</v>
      </c>
      <c r="D640" s="102"/>
      <c r="E640" s="102"/>
      <c r="F640" s="102"/>
      <c r="G640" s="102"/>
      <c r="H640" s="41"/>
      <c r="I640" s="42"/>
      <c r="J640" s="42"/>
      <c r="K640" s="42"/>
      <c r="L640" s="45"/>
      <c r="M640" s="42"/>
      <c r="N640" s="49">
        <v>68453.45</v>
      </c>
      <c r="O640" s="42"/>
      <c r="P640" s="50">
        <v>9234.0285000000003</v>
      </c>
      <c r="Q640"/>
      <c r="R640"/>
      <c r="S640"/>
      <c r="T640">
        <f>T1812</f>
        <v>0</v>
      </c>
      <c r="U640" s="50">
        <f>8029.59*(K635/W636)</f>
        <v>6573.67532967033</v>
      </c>
      <c r="V640"/>
      <c r="W640" s="58">
        <v>49</v>
      </c>
      <c r="X640"/>
      <c r="Y640"/>
      <c r="Z640"/>
      <c r="AA640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38"/>
      <c r="AW640" s="38"/>
      <c r="AX640" s="38"/>
      <c r="AY640" s="38"/>
      <c r="AZ640" s="6"/>
      <c r="BA640" s="38" t="s">
        <v>63</v>
      </c>
      <c r="BB640" s="6"/>
      <c r="BC640" s="6"/>
      <c r="BD640" s="6"/>
      <c r="BE640" s="6"/>
      <c r="BF640" s="6"/>
      <c r="BG640" s="6"/>
      <c r="BH640" s="6"/>
      <c r="BI640" s="6"/>
      <c r="BJ640" s="6"/>
      <c r="BK640" s="6"/>
    </row>
    <row r="641" spans="1:63" s="19" customFormat="1" ht="15" x14ac:dyDescent="0.25">
      <c r="A641" s="39" t="s">
        <v>670</v>
      </c>
      <c r="B641" s="97" t="s">
        <v>168</v>
      </c>
      <c r="C641" s="103" t="s">
        <v>169</v>
      </c>
      <c r="D641" s="103"/>
      <c r="E641" s="103"/>
      <c r="F641" s="103"/>
      <c r="G641" s="103"/>
      <c r="H641" s="41" t="s">
        <v>170</v>
      </c>
      <c r="I641" s="42">
        <v>0.59599999999999997</v>
      </c>
      <c r="J641" s="43">
        <v>1</v>
      </c>
      <c r="K641" s="66">
        <v>0.59599999999999997</v>
      </c>
      <c r="L641" s="45"/>
      <c r="M641" s="42"/>
      <c r="N641" s="45"/>
      <c r="O641" s="42"/>
      <c r="P641" s="50"/>
      <c r="Q641"/>
      <c r="R641"/>
      <c r="S641"/>
      <c r="T641"/>
      <c r="U641" s="46"/>
      <c r="V641"/>
      <c r="W641" s="42"/>
      <c r="X641"/>
      <c r="Y641"/>
      <c r="Z641"/>
      <c r="AA641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38"/>
      <c r="AW641" s="38"/>
      <c r="AX641" s="38" t="s">
        <v>169</v>
      </c>
      <c r="AY641" s="38"/>
      <c r="AZ641" s="6"/>
      <c r="BA641" s="38"/>
      <c r="BB641" s="6"/>
      <c r="BC641" s="6"/>
      <c r="BD641" s="6"/>
      <c r="BE641" s="6"/>
      <c r="BF641" s="6"/>
      <c r="BG641" s="6"/>
      <c r="BH641" s="6"/>
      <c r="BI641" s="6"/>
      <c r="BJ641" s="6"/>
      <c r="BK641" s="6"/>
    </row>
    <row r="642" spans="1:63" s="19" customFormat="1" ht="15" x14ac:dyDescent="0.25">
      <c r="A642" s="47"/>
      <c r="B642" s="48"/>
      <c r="C642" s="102" t="s">
        <v>56</v>
      </c>
      <c r="D642" s="102"/>
      <c r="E642" s="102"/>
      <c r="F642" s="102"/>
      <c r="G642" s="102"/>
      <c r="H642" s="41"/>
      <c r="I642" s="42"/>
      <c r="J642" s="42"/>
      <c r="K642" s="42"/>
      <c r="L642" s="45"/>
      <c r="M642" s="42"/>
      <c r="N642" s="49"/>
      <c r="O642" s="42"/>
      <c r="P642" s="50">
        <v>3946.6964999999996</v>
      </c>
      <c r="Q642" s="51"/>
      <c r="R642" s="51"/>
      <c r="S642"/>
      <c r="T642">
        <f>T1812</f>
        <v>0</v>
      </c>
      <c r="U642" s="50">
        <v>3431.91</v>
      </c>
      <c r="V642"/>
      <c r="W642" s="62">
        <v>0.621</v>
      </c>
      <c r="X642"/>
      <c r="Y642"/>
      <c r="Z642"/>
      <c r="AA642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38"/>
      <c r="AW642" s="38"/>
      <c r="AX642" s="38"/>
      <c r="AY642" s="38" t="s">
        <v>56</v>
      </c>
      <c r="AZ642" s="6"/>
      <c r="BA642" s="38"/>
      <c r="BB642" s="6"/>
      <c r="BC642" s="6"/>
      <c r="BD642" s="6"/>
      <c r="BE642" s="6"/>
      <c r="BF642" s="6"/>
      <c r="BG642" s="6"/>
      <c r="BH642" s="6"/>
      <c r="BI642" s="6"/>
      <c r="BJ642" s="6"/>
      <c r="BK642" s="6"/>
    </row>
    <row r="643" spans="1:63" s="19" customFormat="1" ht="15" x14ac:dyDescent="0.25">
      <c r="A643" s="52"/>
      <c r="B643" s="53"/>
      <c r="C643" s="104" t="s">
        <v>57</v>
      </c>
      <c r="D643" s="104"/>
      <c r="E643" s="104"/>
      <c r="F643" s="104"/>
      <c r="G643" s="104"/>
      <c r="H643" s="54"/>
      <c r="I643" s="55"/>
      <c r="J643" s="55"/>
      <c r="K643" s="55"/>
      <c r="L643" s="56"/>
      <c r="M643" s="55"/>
      <c r="N643" s="56"/>
      <c r="O643" s="55"/>
      <c r="P643" s="77">
        <v>3555.4089999999997</v>
      </c>
      <c r="Q643"/>
      <c r="R643"/>
      <c r="S643"/>
      <c r="T643">
        <f>T1812</f>
        <v>0</v>
      </c>
      <c r="U643" s="57">
        <v>3091.66</v>
      </c>
      <c r="V643"/>
      <c r="W643" s="42"/>
      <c r="X643"/>
      <c r="Y643"/>
      <c r="Z643"/>
      <c r="AA643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38"/>
      <c r="AW643" s="38"/>
      <c r="AX643" s="38"/>
      <c r="AY643" s="38"/>
      <c r="AZ643" s="6" t="s">
        <v>57</v>
      </c>
      <c r="BA643" s="38"/>
      <c r="BB643" s="6"/>
      <c r="BC643" s="6"/>
      <c r="BD643" s="6"/>
      <c r="BE643" s="6"/>
      <c r="BF643" s="6"/>
      <c r="BG643" s="6"/>
      <c r="BH643" s="6"/>
      <c r="BI643" s="6"/>
      <c r="BJ643" s="6"/>
      <c r="BK643" s="6"/>
    </row>
    <row r="644" spans="1:63" s="19" customFormat="1" ht="34.5" x14ac:dyDescent="0.25">
      <c r="A644" s="52"/>
      <c r="B644" s="53" t="s">
        <v>149</v>
      </c>
      <c r="C644" s="104" t="s">
        <v>150</v>
      </c>
      <c r="D644" s="104"/>
      <c r="E644" s="104"/>
      <c r="F644" s="104"/>
      <c r="G644" s="104"/>
      <c r="H644" s="54" t="s">
        <v>60</v>
      </c>
      <c r="I644" s="58">
        <v>91</v>
      </c>
      <c r="J644" s="55"/>
      <c r="K644" s="58">
        <v>91</v>
      </c>
      <c r="L644" s="56"/>
      <c r="M644" s="55"/>
      <c r="N644" s="56"/>
      <c r="O644" s="55"/>
      <c r="P644" s="77">
        <v>3235.4214999999995</v>
      </c>
      <c r="Q644"/>
      <c r="R644"/>
      <c r="S644"/>
      <c r="T644">
        <f>T1812</f>
        <v>0</v>
      </c>
      <c r="U644" s="57">
        <v>2813.41</v>
      </c>
      <c r="V644"/>
      <c r="W644" s="55"/>
      <c r="X644"/>
      <c r="Y644"/>
      <c r="Z644"/>
      <c r="AA644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38"/>
      <c r="AW644" s="38"/>
      <c r="AX644" s="38"/>
      <c r="AY644" s="38"/>
      <c r="AZ644" s="6" t="s">
        <v>150</v>
      </c>
      <c r="BA644" s="38"/>
      <c r="BB644" s="6"/>
      <c r="BC644" s="6"/>
      <c r="BD644" s="6"/>
      <c r="BE644" s="6"/>
      <c r="BF644" s="6"/>
      <c r="BG644" s="6"/>
      <c r="BH644" s="6"/>
      <c r="BI644" s="6"/>
      <c r="BJ644" s="6"/>
      <c r="BK644" s="6"/>
    </row>
    <row r="645" spans="1:63" s="19" customFormat="1" ht="34.5" x14ac:dyDescent="0.25">
      <c r="A645" s="52"/>
      <c r="B645" s="53" t="s">
        <v>151</v>
      </c>
      <c r="C645" s="104" t="s">
        <v>152</v>
      </c>
      <c r="D645" s="104"/>
      <c r="E645" s="104"/>
      <c r="F645" s="104"/>
      <c r="G645" s="104"/>
      <c r="H645" s="54" t="s">
        <v>60</v>
      </c>
      <c r="I645" s="58">
        <v>52</v>
      </c>
      <c r="J645" s="55"/>
      <c r="K645" s="58">
        <v>52</v>
      </c>
      <c r="L645" s="56"/>
      <c r="M645" s="55"/>
      <c r="N645" s="56"/>
      <c r="O645" s="55"/>
      <c r="P645" s="77">
        <v>1848.809</v>
      </c>
      <c r="Q645"/>
      <c r="R645"/>
      <c r="S645"/>
      <c r="T645">
        <f>T1812</f>
        <v>0</v>
      </c>
      <c r="U645" s="57">
        <v>1607.66</v>
      </c>
      <c r="V645"/>
      <c r="W645" s="58">
        <v>91</v>
      </c>
      <c r="X645"/>
      <c r="Y645"/>
      <c r="Z645"/>
      <c r="AA645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38"/>
      <c r="AW645" s="38"/>
      <c r="AX645" s="38"/>
      <c r="AY645" s="38"/>
      <c r="AZ645" s="6" t="s">
        <v>152</v>
      </c>
      <c r="BA645" s="38"/>
      <c r="BB645" s="6"/>
      <c r="BC645" s="6"/>
      <c r="BD645" s="6"/>
      <c r="BE645" s="6"/>
      <c r="BF645" s="6"/>
      <c r="BG645" s="6"/>
      <c r="BH645" s="6"/>
      <c r="BI645" s="6"/>
      <c r="BJ645" s="6"/>
      <c r="BK645" s="6"/>
    </row>
    <row r="646" spans="1:63" s="19" customFormat="1" ht="15" x14ac:dyDescent="0.25">
      <c r="A646" s="59"/>
      <c r="B646" s="98"/>
      <c r="C646" s="102" t="s">
        <v>63</v>
      </c>
      <c r="D646" s="102"/>
      <c r="E646" s="102"/>
      <c r="F646" s="102"/>
      <c r="G646" s="102"/>
      <c r="H646" s="41"/>
      <c r="I646" s="42"/>
      <c r="J646" s="42"/>
      <c r="K646" s="42"/>
      <c r="L646" s="45"/>
      <c r="M646" s="42"/>
      <c r="N646" s="49">
        <v>8013.24</v>
      </c>
      <c r="O646" s="42"/>
      <c r="P646" s="50">
        <v>9030.9269999999997</v>
      </c>
      <c r="Q646"/>
      <c r="R646"/>
      <c r="S646"/>
      <c r="T646">
        <f>T1812</f>
        <v>0</v>
      </c>
      <c r="U646" s="50">
        <f>7852.98*(K641/W642)</f>
        <v>7536.837487922704</v>
      </c>
      <c r="V646"/>
      <c r="W646" s="58">
        <v>52</v>
      </c>
      <c r="X646"/>
      <c r="Y646"/>
      <c r="Z646"/>
      <c r="AA64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38"/>
      <c r="AW646" s="38"/>
      <c r="AX646" s="38"/>
      <c r="AY646" s="38"/>
      <c r="AZ646" s="6"/>
      <c r="BA646" s="38" t="s">
        <v>63</v>
      </c>
      <c r="BB646" s="6"/>
      <c r="BC646" s="6"/>
      <c r="BD646" s="6"/>
      <c r="BE646" s="6"/>
      <c r="BF646" s="6"/>
      <c r="BG646" s="6"/>
      <c r="BH646" s="6"/>
      <c r="BI646" s="6"/>
      <c r="BJ646" s="6"/>
      <c r="BK646" s="6"/>
    </row>
    <row r="647" spans="1:63" s="19" customFormat="1" ht="23.25" x14ac:dyDescent="0.25">
      <c r="A647" s="39" t="s">
        <v>671</v>
      </c>
      <c r="B647" s="97" t="s">
        <v>172</v>
      </c>
      <c r="C647" s="103" t="s">
        <v>173</v>
      </c>
      <c r="D647" s="103"/>
      <c r="E647" s="103"/>
      <c r="F647" s="103"/>
      <c r="G647" s="103"/>
      <c r="H647" s="41" t="s">
        <v>170</v>
      </c>
      <c r="I647" s="42">
        <v>0.28000000000000003</v>
      </c>
      <c r="J647" s="43">
        <v>1</v>
      </c>
      <c r="K647" s="62">
        <v>0.28000000000000003</v>
      </c>
      <c r="L647" s="45"/>
      <c r="M647" s="42"/>
      <c r="N647" s="45"/>
      <c r="O647" s="42"/>
      <c r="P647" s="50"/>
      <c r="Q647"/>
      <c r="R647"/>
      <c r="S647"/>
      <c r="T647"/>
      <c r="U647" s="46"/>
      <c r="V647"/>
      <c r="W647" s="42"/>
      <c r="X647"/>
      <c r="Y647"/>
      <c r="Z647"/>
      <c r="AA647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38"/>
      <c r="AW647" s="38"/>
      <c r="AX647" s="38" t="s">
        <v>173</v>
      </c>
      <c r="AY647" s="38"/>
      <c r="AZ647" s="6"/>
      <c r="BA647" s="38"/>
      <c r="BB647" s="6"/>
      <c r="BC647" s="6"/>
      <c r="BD647" s="6"/>
      <c r="BE647" s="6"/>
      <c r="BF647" s="6"/>
      <c r="BG647" s="6"/>
      <c r="BH647" s="6"/>
      <c r="BI647" s="6"/>
      <c r="BJ647" s="6"/>
      <c r="BK647" s="6"/>
    </row>
    <row r="648" spans="1:63" s="19" customFormat="1" ht="15" x14ac:dyDescent="0.25">
      <c r="A648" s="47"/>
      <c r="B648" s="48"/>
      <c r="C648" s="102" t="s">
        <v>56</v>
      </c>
      <c r="D648" s="102"/>
      <c r="E648" s="102"/>
      <c r="F648" s="102"/>
      <c r="G648" s="102"/>
      <c r="H648" s="41"/>
      <c r="I648" s="42"/>
      <c r="J648" s="42"/>
      <c r="K648" s="42"/>
      <c r="L648" s="45"/>
      <c r="M648" s="42"/>
      <c r="N648" s="49"/>
      <c r="O648" s="42"/>
      <c r="P648" s="50">
        <v>2188.0360000000001</v>
      </c>
      <c r="Q648" s="51"/>
      <c r="R648" s="51"/>
      <c r="S648"/>
      <c r="T648">
        <f>T1812</f>
        <v>0</v>
      </c>
      <c r="U648" s="50">
        <v>1902.64</v>
      </c>
      <c r="V648"/>
      <c r="W648" s="62">
        <v>0.28000000000000003</v>
      </c>
      <c r="X648"/>
      <c r="Y648"/>
      <c r="Z648"/>
      <c r="AA648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38"/>
      <c r="AW648" s="38"/>
      <c r="AX648" s="38"/>
      <c r="AY648" s="38" t="s">
        <v>56</v>
      </c>
      <c r="AZ648" s="6"/>
      <c r="BA648" s="38"/>
      <c r="BB648" s="6"/>
      <c r="BC648" s="6"/>
      <c r="BD648" s="6"/>
      <c r="BE648" s="6"/>
      <c r="BF648" s="6"/>
      <c r="BG648" s="6"/>
      <c r="BH648" s="6"/>
      <c r="BI648" s="6"/>
      <c r="BJ648" s="6"/>
      <c r="BK648" s="6"/>
    </row>
    <row r="649" spans="1:63" s="19" customFormat="1" ht="15" x14ac:dyDescent="0.25">
      <c r="A649" s="52"/>
      <c r="B649" s="53"/>
      <c r="C649" s="104" t="s">
        <v>57</v>
      </c>
      <c r="D649" s="104"/>
      <c r="E649" s="104"/>
      <c r="F649" s="104"/>
      <c r="G649" s="104"/>
      <c r="H649" s="54"/>
      <c r="I649" s="55"/>
      <c r="J649" s="55"/>
      <c r="K649" s="55"/>
      <c r="L649" s="56"/>
      <c r="M649" s="55"/>
      <c r="N649" s="56"/>
      <c r="O649" s="55"/>
      <c r="P649" s="77">
        <v>1948.4794999999997</v>
      </c>
      <c r="Q649"/>
      <c r="R649"/>
      <c r="S649"/>
      <c r="T649">
        <f>T1812</f>
        <v>0</v>
      </c>
      <c r="U649" s="57">
        <v>1694.33</v>
      </c>
      <c r="V649"/>
      <c r="W649" s="42"/>
      <c r="X649"/>
      <c r="Y649"/>
      <c r="Z649"/>
      <c r="AA649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38"/>
      <c r="AW649" s="38"/>
      <c r="AX649" s="38"/>
      <c r="AY649" s="38"/>
      <c r="AZ649" s="6" t="s">
        <v>57</v>
      </c>
      <c r="BA649" s="38"/>
      <c r="BB649" s="6"/>
      <c r="BC649" s="6"/>
      <c r="BD649" s="6"/>
      <c r="BE649" s="6"/>
      <c r="BF649" s="6"/>
      <c r="BG649" s="6"/>
      <c r="BH649" s="6"/>
      <c r="BI649" s="6"/>
      <c r="BJ649" s="6"/>
      <c r="BK649" s="6"/>
    </row>
    <row r="650" spans="1:63" s="19" customFormat="1" ht="15" x14ac:dyDescent="0.25">
      <c r="A650" s="52"/>
      <c r="B650" s="53" t="s">
        <v>174</v>
      </c>
      <c r="C650" s="104" t="s">
        <v>175</v>
      </c>
      <c r="D650" s="104"/>
      <c r="E650" s="104"/>
      <c r="F650" s="104"/>
      <c r="G650" s="104"/>
      <c r="H650" s="54" t="s">
        <v>60</v>
      </c>
      <c r="I650" s="58">
        <v>110</v>
      </c>
      <c r="J650" s="55"/>
      <c r="K650" s="58">
        <v>110</v>
      </c>
      <c r="L650" s="56"/>
      <c r="M650" s="55"/>
      <c r="N650" s="56"/>
      <c r="O650" s="55"/>
      <c r="P650" s="77">
        <v>2143.3239999999996</v>
      </c>
      <c r="Q650"/>
      <c r="R650"/>
      <c r="S650"/>
      <c r="T650">
        <f>T1812</f>
        <v>0</v>
      </c>
      <c r="U650" s="57">
        <v>1863.76</v>
      </c>
      <c r="V650"/>
      <c r="W650" s="55"/>
      <c r="X650"/>
      <c r="Y650"/>
      <c r="Z650"/>
      <c r="AA650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38"/>
      <c r="AW650" s="38"/>
      <c r="AX650" s="38"/>
      <c r="AY650" s="38"/>
      <c r="AZ650" s="6" t="s">
        <v>175</v>
      </c>
      <c r="BA650" s="38"/>
      <c r="BB650" s="6"/>
      <c r="BC650" s="6"/>
      <c r="BD650" s="6"/>
      <c r="BE650" s="6"/>
      <c r="BF650" s="6"/>
      <c r="BG650" s="6"/>
      <c r="BH650" s="6"/>
      <c r="BI650" s="6"/>
      <c r="BJ650" s="6"/>
      <c r="BK650" s="6"/>
    </row>
    <row r="651" spans="1:63" s="19" customFormat="1" ht="15" x14ac:dyDescent="0.25">
      <c r="A651" s="52"/>
      <c r="B651" s="53" t="s">
        <v>176</v>
      </c>
      <c r="C651" s="104" t="s">
        <v>177</v>
      </c>
      <c r="D651" s="104"/>
      <c r="E651" s="104"/>
      <c r="F651" s="104"/>
      <c r="G651" s="104"/>
      <c r="H651" s="54" t="s">
        <v>60</v>
      </c>
      <c r="I651" s="58">
        <v>69</v>
      </c>
      <c r="J651" s="55"/>
      <c r="K651" s="58">
        <v>69</v>
      </c>
      <c r="L651" s="56"/>
      <c r="M651" s="55"/>
      <c r="N651" s="56"/>
      <c r="O651" s="55"/>
      <c r="P651" s="77">
        <v>1344.4534999999998</v>
      </c>
      <c r="Q651"/>
      <c r="R651"/>
      <c r="S651"/>
      <c r="T651">
        <f>T1812</f>
        <v>0</v>
      </c>
      <c r="U651" s="57">
        <v>1169.0899999999999</v>
      </c>
      <c r="V651"/>
      <c r="W651" s="58">
        <v>110</v>
      </c>
      <c r="X651"/>
      <c r="Y651"/>
      <c r="Z651"/>
      <c r="AA651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38"/>
      <c r="AW651" s="38"/>
      <c r="AX651" s="38"/>
      <c r="AY651" s="38"/>
      <c r="AZ651" s="6" t="s">
        <v>177</v>
      </c>
      <c r="BA651" s="38"/>
      <c r="BB651" s="6"/>
      <c r="BC651" s="6"/>
      <c r="BD651" s="6"/>
      <c r="BE651" s="6"/>
      <c r="BF651" s="6"/>
      <c r="BG651" s="6"/>
      <c r="BH651" s="6"/>
      <c r="BI651" s="6"/>
      <c r="BJ651" s="6"/>
      <c r="BK651" s="6"/>
    </row>
    <row r="652" spans="1:63" s="19" customFormat="1" ht="15" x14ac:dyDescent="0.25">
      <c r="A652" s="59"/>
      <c r="B652" s="98"/>
      <c r="C652" s="102" t="s">
        <v>63</v>
      </c>
      <c r="D652" s="102"/>
      <c r="E652" s="102"/>
      <c r="F652" s="102"/>
      <c r="G652" s="102"/>
      <c r="H652" s="41"/>
      <c r="I652" s="42"/>
      <c r="J652" s="42"/>
      <c r="K652" s="42"/>
      <c r="L652" s="45"/>
      <c r="M652" s="42"/>
      <c r="N652" s="49">
        <v>5036.21</v>
      </c>
      <c r="O652" s="42"/>
      <c r="P652" s="50">
        <v>5675.8134999999993</v>
      </c>
      <c r="Q652"/>
      <c r="R652"/>
      <c r="S652"/>
      <c r="T652">
        <f>T1812</f>
        <v>0</v>
      </c>
      <c r="U652" s="50">
        <f>4935.49*(K647/W648)</f>
        <v>4935.49</v>
      </c>
      <c r="V652"/>
      <c r="W652" s="58">
        <v>69</v>
      </c>
      <c r="X652"/>
      <c r="Y652"/>
      <c r="Z652"/>
      <c r="AA652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38"/>
      <c r="AW652" s="38"/>
      <c r="AX652" s="38"/>
      <c r="AY652" s="38"/>
      <c r="AZ652" s="6"/>
      <c r="BA652" s="38" t="s">
        <v>63</v>
      </c>
      <c r="BB652" s="6"/>
      <c r="BC652" s="6"/>
      <c r="BD652" s="6"/>
      <c r="BE652" s="6"/>
      <c r="BF652" s="6"/>
      <c r="BG652" s="6"/>
      <c r="BH652" s="6"/>
      <c r="BI652" s="6"/>
      <c r="BJ652" s="6"/>
      <c r="BK652" s="6"/>
    </row>
    <row r="653" spans="1:63" s="19" customFormat="1" ht="23.25" x14ac:dyDescent="0.25">
      <c r="A653" s="39" t="s">
        <v>672</v>
      </c>
      <c r="B653" s="97" t="s">
        <v>179</v>
      </c>
      <c r="C653" s="103" t="s">
        <v>180</v>
      </c>
      <c r="D653" s="103"/>
      <c r="E653" s="103"/>
      <c r="F653" s="103"/>
      <c r="G653" s="103"/>
      <c r="H653" s="41" t="s">
        <v>170</v>
      </c>
      <c r="I653" s="42">
        <v>0.2898</v>
      </c>
      <c r="J653" s="43">
        <v>1</v>
      </c>
      <c r="K653" s="44">
        <v>0.2898</v>
      </c>
      <c r="L653" s="49">
        <v>5719.62</v>
      </c>
      <c r="M653" s="62">
        <v>1.25</v>
      </c>
      <c r="N653" s="49">
        <v>7149.53</v>
      </c>
      <c r="O653" s="42"/>
      <c r="P653" s="50">
        <v>8138.09</v>
      </c>
      <c r="Q653"/>
      <c r="R653"/>
      <c r="S653"/>
      <c r="T653">
        <f>T1812</f>
        <v>0</v>
      </c>
      <c r="U653" s="50">
        <f>U654</f>
        <v>7076.6</v>
      </c>
      <c r="V653"/>
      <c r="W653" s="42"/>
      <c r="X653"/>
      <c r="Y653"/>
      <c r="Z653"/>
      <c r="AA653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38"/>
      <c r="AW653" s="38"/>
      <c r="AX653" s="38" t="s">
        <v>180</v>
      </c>
      <c r="AY653" s="38"/>
      <c r="AZ653" s="6"/>
      <c r="BA653" s="38"/>
      <c r="BB653" s="6"/>
      <c r="BC653" s="6"/>
      <c r="BD653" s="6"/>
      <c r="BE653" s="6"/>
      <c r="BF653" s="6"/>
      <c r="BG653" s="6"/>
      <c r="BH653" s="6"/>
      <c r="BI653" s="6"/>
      <c r="BJ653" s="6"/>
      <c r="BK653" s="6"/>
    </row>
    <row r="654" spans="1:63" s="19" customFormat="1" ht="15" x14ac:dyDescent="0.25">
      <c r="A654" s="59"/>
      <c r="B654" s="98"/>
      <c r="C654" s="102" t="s">
        <v>63</v>
      </c>
      <c r="D654" s="102"/>
      <c r="E654" s="102"/>
      <c r="F654" s="102"/>
      <c r="G654" s="102"/>
      <c r="H654" s="41"/>
      <c r="I654" s="42"/>
      <c r="J654" s="42"/>
      <c r="K654" s="42"/>
      <c r="L654" s="45"/>
      <c r="M654" s="42"/>
      <c r="N654" s="45"/>
      <c r="O654" s="42"/>
      <c r="P654" s="50">
        <v>8138.09</v>
      </c>
      <c r="Q654"/>
      <c r="R654"/>
      <c r="S654"/>
      <c r="T654">
        <f>T1812</f>
        <v>0</v>
      </c>
      <c r="U654" s="50">
        <f>7076.6*(K653/W654)</f>
        <v>7076.6</v>
      </c>
      <c r="V654"/>
      <c r="W654" s="44">
        <v>0.2898</v>
      </c>
      <c r="X654"/>
      <c r="Y654"/>
      <c r="Z654"/>
      <c r="AA654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38"/>
      <c r="AW654" s="38"/>
      <c r="AX654" s="38"/>
      <c r="AY654" s="38"/>
      <c r="AZ654" s="6"/>
      <c r="BA654" s="38" t="s">
        <v>63</v>
      </c>
      <c r="BB654" s="6"/>
      <c r="BC654" s="6"/>
      <c r="BD654" s="6"/>
      <c r="BE654" s="6"/>
      <c r="BF654" s="6"/>
      <c r="BG654" s="6"/>
      <c r="BH654" s="6"/>
      <c r="BI654" s="6"/>
      <c r="BJ654" s="6"/>
      <c r="BK654" s="6"/>
    </row>
    <row r="655" spans="1:63" s="19" customFormat="1" ht="23.25" x14ac:dyDescent="0.25">
      <c r="A655" s="39" t="s">
        <v>673</v>
      </c>
      <c r="B655" s="97" t="s">
        <v>182</v>
      </c>
      <c r="C655" s="103" t="s">
        <v>183</v>
      </c>
      <c r="D655" s="103"/>
      <c r="E655" s="103"/>
      <c r="F655" s="103"/>
      <c r="G655" s="103"/>
      <c r="H655" s="41" t="s">
        <v>71</v>
      </c>
      <c r="I655" s="42">
        <v>2.7900600000000001E-2</v>
      </c>
      <c r="J655" s="43">
        <v>1</v>
      </c>
      <c r="K655" s="64">
        <v>2.7900600000000001E-2</v>
      </c>
      <c r="L655" s="49">
        <v>39438.35</v>
      </c>
      <c r="M655" s="62">
        <v>1.37</v>
      </c>
      <c r="N655" s="49">
        <v>54030.54</v>
      </c>
      <c r="O655" s="42"/>
      <c r="P655" s="50">
        <v>1733.6019999999999</v>
      </c>
      <c r="Q655"/>
      <c r="R655"/>
      <c r="S655"/>
      <c r="T655">
        <f>T1812</f>
        <v>0</v>
      </c>
      <c r="U655" s="50">
        <f>U656</f>
        <v>1507.48</v>
      </c>
      <c r="V655"/>
      <c r="W655" s="42"/>
      <c r="X655"/>
      <c r="Y655"/>
      <c r="Z655"/>
      <c r="AA655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38"/>
      <c r="AW655" s="38"/>
      <c r="AX655" s="38" t="s">
        <v>183</v>
      </c>
      <c r="AY655" s="38"/>
      <c r="AZ655" s="6"/>
      <c r="BA655" s="38"/>
      <c r="BB655" s="6"/>
      <c r="BC655" s="6"/>
      <c r="BD655" s="6"/>
      <c r="BE655" s="6"/>
      <c r="BF655" s="6"/>
      <c r="BG655" s="6"/>
      <c r="BH655" s="6"/>
      <c r="BI655" s="6"/>
      <c r="BJ655" s="6"/>
      <c r="BK655" s="6"/>
    </row>
    <row r="656" spans="1:63" s="19" customFormat="1" ht="15" x14ac:dyDescent="0.25">
      <c r="A656" s="59"/>
      <c r="B656" s="98"/>
      <c r="C656" s="102" t="s">
        <v>63</v>
      </c>
      <c r="D656" s="102"/>
      <c r="E656" s="102"/>
      <c r="F656" s="102"/>
      <c r="G656" s="102"/>
      <c r="H656" s="41"/>
      <c r="I656" s="42"/>
      <c r="J656" s="42"/>
      <c r="K656" s="42"/>
      <c r="L656" s="45"/>
      <c r="M656" s="42"/>
      <c r="N656" s="45"/>
      <c r="O656" s="42"/>
      <c r="P656" s="50">
        <v>1733.6019999999999</v>
      </c>
      <c r="Q656"/>
      <c r="R656"/>
      <c r="S656"/>
      <c r="T656">
        <f>T1812</f>
        <v>0</v>
      </c>
      <c r="U656" s="50">
        <f>1507.48*(K655/W656)</f>
        <v>1507.48</v>
      </c>
      <c r="V656"/>
      <c r="W656" s="64">
        <v>2.7900600000000001E-2</v>
      </c>
      <c r="X656"/>
      <c r="Y656"/>
      <c r="Z656"/>
      <c r="AA65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38"/>
      <c r="AW656" s="38"/>
      <c r="AX656" s="38"/>
      <c r="AY656" s="38"/>
      <c r="AZ656" s="6"/>
      <c r="BA656" s="38" t="s">
        <v>63</v>
      </c>
      <c r="BB656" s="6"/>
      <c r="BC656" s="6"/>
      <c r="BD656" s="6"/>
      <c r="BE656" s="6"/>
      <c r="BF656" s="6"/>
      <c r="BG656" s="6"/>
      <c r="BH656" s="6"/>
      <c r="BI656" s="6"/>
      <c r="BJ656" s="6"/>
      <c r="BK656" s="6"/>
    </row>
    <row r="657" spans="1:63" s="19" customFormat="1" ht="15" x14ac:dyDescent="0.25">
      <c r="A657" s="39" t="s">
        <v>674</v>
      </c>
      <c r="B657" s="97" t="s">
        <v>185</v>
      </c>
      <c r="C657" s="103" t="s">
        <v>186</v>
      </c>
      <c r="D657" s="103"/>
      <c r="E657" s="103"/>
      <c r="F657" s="103"/>
      <c r="G657" s="103"/>
      <c r="H657" s="41" t="s">
        <v>55</v>
      </c>
      <c r="I657" s="42">
        <v>0.14899999999999999</v>
      </c>
      <c r="J657" s="43">
        <v>1</v>
      </c>
      <c r="K657" s="44">
        <v>0.14899999999999999</v>
      </c>
      <c r="L657" s="45"/>
      <c r="M657" s="42"/>
      <c r="N657" s="45"/>
      <c r="O657" s="42"/>
      <c r="P657" s="50"/>
      <c r="Q657"/>
      <c r="R657"/>
      <c r="S657"/>
      <c r="T657"/>
      <c r="U657" s="46"/>
      <c r="V657"/>
      <c r="W657" s="42"/>
      <c r="X657"/>
      <c r="Y657"/>
      <c r="Z657"/>
      <c r="AA657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38"/>
      <c r="AW657" s="38"/>
      <c r="AX657" s="38" t="s">
        <v>186</v>
      </c>
      <c r="AY657" s="38"/>
      <c r="AZ657" s="6"/>
      <c r="BA657" s="38"/>
      <c r="BB657" s="6"/>
      <c r="BC657" s="6"/>
      <c r="BD657" s="6"/>
      <c r="BE657" s="6"/>
      <c r="BF657" s="6"/>
      <c r="BG657" s="6"/>
      <c r="BH657" s="6"/>
      <c r="BI657" s="6"/>
      <c r="BJ657" s="6"/>
      <c r="BK657" s="6"/>
    </row>
    <row r="658" spans="1:63" s="19" customFormat="1" ht="15" x14ac:dyDescent="0.25">
      <c r="A658" s="47"/>
      <c r="B658" s="48"/>
      <c r="C658" s="102" t="s">
        <v>56</v>
      </c>
      <c r="D658" s="102"/>
      <c r="E658" s="102"/>
      <c r="F658" s="102"/>
      <c r="G658" s="102"/>
      <c r="H658" s="41"/>
      <c r="I658" s="42"/>
      <c r="J658" s="42"/>
      <c r="K658" s="42"/>
      <c r="L658" s="45"/>
      <c r="M658" s="42"/>
      <c r="N658" s="49"/>
      <c r="O658" s="42"/>
      <c r="P658" s="50">
        <v>1740.1569999999999</v>
      </c>
      <c r="Q658" s="51"/>
      <c r="R658" s="51"/>
      <c r="S658"/>
      <c r="T658">
        <f>T1812</f>
        <v>0</v>
      </c>
      <c r="U658" s="50">
        <v>1513.18</v>
      </c>
      <c r="V658"/>
      <c r="W658" s="44">
        <v>0.182</v>
      </c>
      <c r="X658"/>
      <c r="Y658"/>
      <c r="Z658"/>
      <c r="AA658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38"/>
      <c r="AW658" s="38"/>
      <c r="AX658" s="38"/>
      <c r="AY658" s="38" t="s">
        <v>56</v>
      </c>
      <c r="AZ658" s="6"/>
      <c r="BA658" s="38"/>
      <c r="BB658" s="6"/>
      <c r="BC658" s="6"/>
      <c r="BD658" s="6"/>
      <c r="BE658" s="6"/>
      <c r="BF658" s="6"/>
      <c r="BG658" s="6"/>
      <c r="BH658" s="6"/>
      <c r="BI658" s="6"/>
      <c r="BJ658" s="6"/>
      <c r="BK658" s="6"/>
    </row>
    <row r="659" spans="1:63" s="19" customFormat="1" ht="15" x14ac:dyDescent="0.25">
      <c r="A659" s="52"/>
      <c r="B659" s="53"/>
      <c r="C659" s="104" t="s">
        <v>57</v>
      </c>
      <c r="D659" s="104"/>
      <c r="E659" s="104"/>
      <c r="F659" s="104"/>
      <c r="G659" s="104"/>
      <c r="H659" s="54"/>
      <c r="I659" s="55"/>
      <c r="J659" s="55"/>
      <c r="K659" s="55"/>
      <c r="L659" s="56"/>
      <c r="M659" s="55"/>
      <c r="N659" s="56"/>
      <c r="O659" s="55"/>
      <c r="P659" s="77">
        <v>1709.4749999999999</v>
      </c>
      <c r="Q659"/>
      <c r="R659"/>
      <c r="S659"/>
      <c r="T659">
        <f>T1812</f>
        <v>0</v>
      </c>
      <c r="U659" s="57">
        <v>1486.5</v>
      </c>
      <c r="V659"/>
      <c r="W659" s="42"/>
      <c r="X659"/>
      <c r="Y659"/>
      <c r="Z659"/>
      <c r="AA659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38"/>
      <c r="AW659" s="38"/>
      <c r="AX659" s="38"/>
      <c r="AY659" s="38"/>
      <c r="AZ659" s="6" t="s">
        <v>57</v>
      </c>
      <c r="BA659" s="38"/>
      <c r="BB659" s="6"/>
      <c r="BC659" s="6"/>
      <c r="BD659" s="6"/>
      <c r="BE659" s="6"/>
      <c r="BF659" s="6"/>
      <c r="BG659" s="6"/>
      <c r="BH659" s="6"/>
      <c r="BI659" s="6"/>
      <c r="BJ659" s="6"/>
      <c r="BK659" s="6"/>
    </row>
    <row r="660" spans="1:63" s="19" customFormat="1" ht="15" x14ac:dyDescent="0.25">
      <c r="A660" s="52"/>
      <c r="B660" s="53" t="s">
        <v>187</v>
      </c>
      <c r="C660" s="104" t="s">
        <v>188</v>
      </c>
      <c r="D660" s="104"/>
      <c r="E660" s="104"/>
      <c r="F660" s="104"/>
      <c r="G660" s="104"/>
      <c r="H660" s="54" t="s">
        <v>60</v>
      </c>
      <c r="I660" s="58">
        <v>112</v>
      </c>
      <c r="J660" s="55"/>
      <c r="K660" s="58">
        <v>112</v>
      </c>
      <c r="L660" s="56"/>
      <c r="M660" s="55"/>
      <c r="N660" s="56"/>
      <c r="O660" s="55"/>
      <c r="P660" s="77">
        <v>1914.6120000000001</v>
      </c>
      <c r="Q660"/>
      <c r="R660"/>
      <c r="S660"/>
      <c r="T660">
        <f>T1812</f>
        <v>0</v>
      </c>
      <c r="U660" s="57">
        <v>1664.88</v>
      </c>
      <c r="V660"/>
      <c r="W660" s="55"/>
      <c r="X660"/>
      <c r="Y660"/>
      <c r="Z660"/>
      <c r="AA660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38"/>
      <c r="AW660" s="38"/>
      <c r="AX660" s="38"/>
      <c r="AY660" s="38"/>
      <c r="AZ660" s="6" t="s">
        <v>188</v>
      </c>
      <c r="BA660" s="38"/>
      <c r="BB660" s="6"/>
      <c r="BC660" s="6"/>
      <c r="BD660" s="6"/>
      <c r="BE660" s="6"/>
      <c r="BF660" s="6"/>
      <c r="BG660" s="6"/>
      <c r="BH660" s="6"/>
      <c r="BI660" s="6"/>
      <c r="BJ660" s="6"/>
      <c r="BK660" s="6"/>
    </row>
    <row r="661" spans="1:63" s="19" customFormat="1" ht="15" x14ac:dyDescent="0.25">
      <c r="A661" s="52"/>
      <c r="B661" s="53" t="s">
        <v>189</v>
      </c>
      <c r="C661" s="104" t="s">
        <v>190</v>
      </c>
      <c r="D661" s="104"/>
      <c r="E661" s="104"/>
      <c r="F661" s="104"/>
      <c r="G661" s="104"/>
      <c r="H661" s="54" t="s">
        <v>60</v>
      </c>
      <c r="I661" s="58">
        <v>65</v>
      </c>
      <c r="J661" s="55"/>
      <c r="K661" s="58">
        <v>65</v>
      </c>
      <c r="L661" s="56"/>
      <c r="M661" s="55"/>
      <c r="N661" s="56"/>
      <c r="O661" s="55"/>
      <c r="P661" s="77">
        <v>1111.1644999999999</v>
      </c>
      <c r="Q661"/>
      <c r="R661"/>
      <c r="S661"/>
      <c r="T661">
        <f>T1812</f>
        <v>0</v>
      </c>
      <c r="U661" s="65">
        <v>966.23</v>
      </c>
      <c r="V661"/>
      <c r="W661" s="58">
        <v>112</v>
      </c>
      <c r="X661"/>
      <c r="Y661"/>
      <c r="Z661"/>
      <c r="AA661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38"/>
      <c r="AW661" s="38"/>
      <c r="AX661" s="38"/>
      <c r="AY661" s="38"/>
      <c r="AZ661" s="6" t="s">
        <v>190</v>
      </c>
      <c r="BA661" s="38"/>
      <c r="BB661" s="6"/>
      <c r="BC661" s="6"/>
      <c r="BD661" s="6"/>
      <c r="BE661" s="6"/>
      <c r="BF661" s="6"/>
      <c r="BG661" s="6"/>
      <c r="BH661" s="6"/>
      <c r="BI661" s="6"/>
      <c r="BJ661" s="6"/>
      <c r="BK661" s="6"/>
    </row>
    <row r="662" spans="1:63" s="19" customFormat="1" ht="15" x14ac:dyDescent="0.25">
      <c r="A662" s="59"/>
      <c r="B662" s="98"/>
      <c r="C662" s="102" t="s">
        <v>63</v>
      </c>
      <c r="D662" s="102"/>
      <c r="E662" s="102"/>
      <c r="F662" s="102"/>
      <c r="G662" s="102"/>
      <c r="H662" s="41"/>
      <c r="I662" s="42"/>
      <c r="J662" s="42"/>
      <c r="K662" s="42"/>
      <c r="L662" s="45"/>
      <c r="M662" s="42"/>
      <c r="N662" s="49">
        <v>35330.69</v>
      </c>
      <c r="O662" s="42"/>
      <c r="P662" s="50">
        <v>4765.9334999999992</v>
      </c>
      <c r="Q662"/>
      <c r="R662"/>
      <c r="S662"/>
      <c r="T662">
        <f>T1812</f>
        <v>0</v>
      </c>
      <c r="U662" s="50">
        <f>4144.29*(K657/W658)</f>
        <v>3392.8528021978022</v>
      </c>
      <c r="V662"/>
      <c r="W662" s="58">
        <v>65</v>
      </c>
      <c r="X662"/>
      <c r="Y662"/>
      <c r="Z662"/>
      <c r="AA662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38"/>
      <c r="AW662" s="38"/>
      <c r="AX662" s="38"/>
      <c r="AY662" s="38"/>
      <c r="AZ662" s="6"/>
      <c r="BA662" s="38" t="s">
        <v>63</v>
      </c>
      <c r="BB662" s="6"/>
      <c r="BC662" s="6"/>
      <c r="BD662" s="6"/>
      <c r="BE662" s="6"/>
      <c r="BF662" s="6"/>
      <c r="BG662" s="6"/>
      <c r="BH662" s="6"/>
      <c r="BI662" s="6"/>
      <c r="BJ662" s="6"/>
      <c r="BK662" s="6"/>
    </row>
    <row r="663" spans="1:63" s="19" customFormat="1" ht="15" x14ac:dyDescent="0.25">
      <c r="A663" s="39" t="s">
        <v>675</v>
      </c>
      <c r="B663" s="97" t="s">
        <v>192</v>
      </c>
      <c r="C663" s="103" t="s">
        <v>193</v>
      </c>
      <c r="D663" s="103"/>
      <c r="E663" s="103"/>
      <c r="F663" s="103"/>
      <c r="G663" s="103"/>
      <c r="H663" s="41" t="s">
        <v>170</v>
      </c>
      <c r="I663" s="42">
        <v>0.239292</v>
      </c>
      <c r="J663" s="43">
        <v>1</v>
      </c>
      <c r="K663" s="68">
        <v>0.239292</v>
      </c>
      <c r="L663" s="45"/>
      <c r="M663" s="42"/>
      <c r="N663" s="49">
        <v>6212.75</v>
      </c>
      <c r="O663" s="42"/>
      <c r="P663" s="50">
        <v>1709.6589999999999</v>
      </c>
      <c r="Q663"/>
      <c r="R663"/>
      <c r="S663"/>
      <c r="T663">
        <f>T1812</f>
        <v>0</v>
      </c>
      <c r="U663" s="50">
        <f>U664</f>
        <v>1486.66</v>
      </c>
      <c r="V663"/>
      <c r="W663" s="42"/>
      <c r="X663"/>
      <c r="Y663"/>
      <c r="Z663"/>
      <c r="AA663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38"/>
      <c r="AW663" s="38"/>
      <c r="AX663" s="38" t="s">
        <v>193</v>
      </c>
      <c r="AY663" s="38"/>
      <c r="AZ663" s="6"/>
      <c r="BA663" s="38"/>
      <c r="BB663" s="6"/>
      <c r="BC663" s="6"/>
      <c r="BD663" s="6"/>
      <c r="BE663" s="6"/>
      <c r="BF663" s="6"/>
      <c r="BG663" s="6"/>
      <c r="BH663" s="6"/>
      <c r="BI663" s="6"/>
      <c r="BJ663" s="6"/>
      <c r="BK663" s="6"/>
    </row>
    <row r="664" spans="1:63" s="19" customFormat="1" ht="15" x14ac:dyDescent="0.25">
      <c r="A664" s="59"/>
      <c r="B664" s="98"/>
      <c r="C664" s="102" t="s">
        <v>63</v>
      </c>
      <c r="D664" s="102"/>
      <c r="E664" s="102"/>
      <c r="F664" s="102"/>
      <c r="G664" s="102"/>
      <c r="H664" s="41"/>
      <c r="I664" s="42"/>
      <c r="J664" s="42"/>
      <c r="K664" s="42"/>
      <c r="L664" s="45"/>
      <c r="M664" s="42"/>
      <c r="N664" s="45"/>
      <c r="O664" s="42"/>
      <c r="P664" s="50">
        <v>1709.6589999999999</v>
      </c>
      <c r="Q664"/>
      <c r="R664"/>
      <c r="S664"/>
      <c r="T664">
        <f>T1812</f>
        <v>0</v>
      </c>
      <c r="U664" s="50">
        <f>1486.66*(K663/W664)</f>
        <v>1486.66</v>
      </c>
      <c r="V664"/>
      <c r="W664" s="68">
        <v>0.239292</v>
      </c>
      <c r="X664"/>
      <c r="Y664"/>
      <c r="Z664"/>
      <c r="AA664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38"/>
      <c r="AW664" s="38"/>
      <c r="AX664" s="38"/>
      <c r="AY664" s="38"/>
      <c r="AZ664" s="6"/>
      <c r="BA664" s="38" t="s">
        <v>63</v>
      </c>
      <c r="BB664" s="6"/>
      <c r="BC664" s="6"/>
      <c r="BD664" s="6"/>
      <c r="BE664" s="6"/>
      <c r="BF664" s="6"/>
      <c r="BG664" s="6"/>
      <c r="BH664" s="6"/>
      <c r="BI664" s="6"/>
      <c r="BJ664" s="6"/>
      <c r="BK664" s="6"/>
    </row>
    <row r="665" spans="1:63" s="19" customFormat="1" ht="34.5" x14ac:dyDescent="0.25">
      <c r="A665" s="39" t="s">
        <v>676</v>
      </c>
      <c r="B665" s="97" t="s">
        <v>195</v>
      </c>
      <c r="C665" s="103" t="s">
        <v>196</v>
      </c>
      <c r="D665" s="103"/>
      <c r="E665" s="103"/>
      <c r="F665" s="103"/>
      <c r="G665" s="103"/>
      <c r="H665" s="41" t="s">
        <v>55</v>
      </c>
      <c r="I665" s="42">
        <v>0.182</v>
      </c>
      <c r="J665" s="43">
        <v>1</v>
      </c>
      <c r="K665" s="44">
        <v>0.182</v>
      </c>
      <c r="L665" s="45"/>
      <c r="M665" s="42"/>
      <c r="N665" s="45"/>
      <c r="O665" s="42"/>
      <c r="P665" s="50"/>
      <c r="Q665"/>
      <c r="R665"/>
      <c r="S665"/>
      <c r="T665"/>
      <c r="U665" s="46"/>
      <c r="V665"/>
      <c r="W665" s="42"/>
      <c r="X665"/>
      <c r="Y665"/>
      <c r="Z665"/>
      <c r="AA665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38"/>
      <c r="AW665" s="38"/>
      <c r="AX665" s="38" t="s">
        <v>196</v>
      </c>
      <c r="AY665" s="38"/>
      <c r="AZ665" s="6"/>
      <c r="BA665" s="38"/>
      <c r="BB665" s="6"/>
      <c r="BC665" s="6"/>
      <c r="BD665" s="6"/>
      <c r="BE665" s="6"/>
      <c r="BF665" s="6"/>
      <c r="BG665" s="6"/>
      <c r="BH665" s="6"/>
      <c r="BI665" s="6"/>
      <c r="BJ665" s="6"/>
      <c r="BK665" s="6"/>
    </row>
    <row r="666" spans="1:63" s="19" customFormat="1" ht="15" x14ac:dyDescent="0.25">
      <c r="A666" s="47"/>
      <c r="B666" s="48"/>
      <c r="C666" s="102" t="s">
        <v>56</v>
      </c>
      <c r="D666" s="102"/>
      <c r="E666" s="102"/>
      <c r="F666" s="102"/>
      <c r="G666" s="102"/>
      <c r="H666" s="41"/>
      <c r="I666" s="42"/>
      <c r="J666" s="42"/>
      <c r="K666" s="42"/>
      <c r="L666" s="45"/>
      <c r="M666" s="42"/>
      <c r="N666" s="49"/>
      <c r="O666" s="42"/>
      <c r="P666" s="90">
        <v>206.03399999999999</v>
      </c>
      <c r="Q666" s="51"/>
      <c r="R666" s="51"/>
      <c r="S666"/>
      <c r="T666">
        <f>T1812</f>
        <v>0</v>
      </c>
      <c r="U666" s="50">
        <v>179.16</v>
      </c>
      <c r="V666"/>
      <c r="W666" s="44">
        <v>0.182</v>
      </c>
      <c r="X666"/>
      <c r="Y666"/>
      <c r="Z666"/>
      <c r="AA66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38"/>
      <c r="AW666" s="38"/>
      <c r="AX666" s="38"/>
      <c r="AY666" s="38" t="s">
        <v>56</v>
      </c>
      <c r="AZ666" s="6"/>
      <c r="BA666" s="38"/>
      <c r="BB666" s="6"/>
      <c r="BC666" s="6"/>
      <c r="BD666" s="6"/>
      <c r="BE666" s="6"/>
      <c r="BF666" s="6"/>
      <c r="BG666" s="6"/>
      <c r="BH666" s="6"/>
      <c r="BI666" s="6"/>
      <c r="BJ666" s="6"/>
      <c r="BK666" s="6"/>
    </row>
    <row r="667" spans="1:63" s="19" customFormat="1" ht="15" x14ac:dyDescent="0.25">
      <c r="A667" s="52"/>
      <c r="B667" s="53"/>
      <c r="C667" s="104" t="s">
        <v>57</v>
      </c>
      <c r="D667" s="104"/>
      <c r="E667" s="104"/>
      <c r="F667" s="104"/>
      <c r="G667" s="104"/>
      <c r="H667" s="54"/>
      <c r="I667" s="55"/>
      <c r="J667" s="55"/>
      <c r="K667" s="55"/>
      <c r="L667" s="56"/>
      <c r="M667" s="55"/>
      <c r="N667" s="56"/>
      <c r="O667" s="55"/>
      <c r="P667" s="77">
        <v>184.57499999999999</v>
      </c>
      <c r="Q667"/>
      <c r="R667"/>
      <c r="S667"/>
      <c r="T667">
        <f>T1812</f>
        <v>0</v>
      </c>
      <c r="U667" s="65">
        <v>160.5</v>
      </c>
      <c r="V667"/>
      <c r="W667" s="42"/>
      <c r="X667"/>
      <c r="Y667"/>
      <c r="Z667"/>
      <c r="AA667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38"/>
      <c r="AW667" s="38"/>
      <c r="AX667" s="38"/>
      <c r="AY667" s="38"/>
      <c r="AZ667" s="6" t="s">
        <v>57</v>
      </c>
      <c r="BA667" s="38"/>
      <c r="BB667" s="6"/>
      <c r="BC667" s="6"/>
      <c r="BD667" s="6"/>
      <c r="BE667" s="6"/>
      <c r="BF667" s="6"/>
      <c r="BG667" s="6"/>
      <c r="BH667" s="6"/>
      <c r="BI667" s="6"/>
      <c r="BJ667" s="6"/>
      <c r="BK667" s="6"/>
    </row>
    <row r="668" spans="1:63" s="19" customFormat="1" ht="15" x14ac:dyDescent="0.25">
      <c r="A668" s="52"/>
      <c r="B668" s="53" t="s">
        <v>187</v>
      </c>
      <c r="C668" s="104" t="s">
        <v>188</v>
      </c>
      <c r="D668" s="104"/>
      <c r="E668" s="104"/>
      <c r="F668" s="104"/>
      <c r="G668" s="104"/>
      <c r="H668" s="54" t="s">
        <v>60</v>
      </c>
      <c r="I668" s="58">
        <v>112</v>
      </c>
      <c r="J668" s="55"/>
      <c r="K668" s="58">
        <v>112</v>
      </c>
      <c r="L668" s="56"/>
      <c r="M668" s="55"/>
      <c r="N668" s="56"/>
      <c r="O668" s="55"/>
      <c r="P668" s="77">
        <v>206.72399999999996</v>
      </c>
      <c r="Q668"/>
      <c r="R668"/>
      <c r="S668"/>
      <c r="T668">
        <f>T1812</f>
        <v>0</v>
      </c>
      <c r="U668" s="65">
        <v>179.76</v>
      </c>
      <c r="V668"/>
      <c r="W668" s="55"/>
      <c r="X668"/>
      <c r="Y668"/>
      <c r="Z668"/>
      <c r="AA668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38"/>
      <c r="AW668" s="38"/>
      <c r="AX668" s="38"/>
      <c r="AY668" s="38"/>
      <c r="AZ668" s="6" t="s">
        <v>188</v>
      </c>
      <c r="BA668" s="38"/>
      <c r="BB668" s="6"/>
      <c r="BC668" s="6"/>
      <c r="BD668" s="6"/>
      <c r="BE668" s="6"/>
      <c r="BF668" s="6"/>
      <c r="BG668" s="6"/>
      <c r="BH668" s="6"/>
      <c r="BI668" s="6"/>
      <c r="BJ668" s="6"/>
      <c r="BK668" s="6"/>
    </row>
    <row r="669" spans="1:63" s="19" customFormat="1" ht="15" x14ac:dyDescent="0.25">
      <c r="A669" s="52"/>
      <c r="B669" s="53" t="s">
        <v>189</v>
      </c>
      <c r="C669" s="104" t="s">
        <v>190</v>
      </c>
      <c r="D669" s="104"/>
      <c r="E669" s="104"/>
      <c r="F669" s="104"/>
      <c r="G669" s="104"/>
      <c r="H669" s="54" t="s">
        <v>60</v>
      </c>
      <c r="I669" s="58">
        <v>65</v>
      </c>
      <c r="J669" s="55"/>
      <c r="K669" s="58">
        <v>65</v>
      </c>
      <c r="L669" s="56"/>
      <c r="M669" s="55"/>
      <c r="N669" s="56"/>
      <c r="O669" s="55"/>
      <c r="P669" s="77">
        <v>119.97949999999999</v>
      </c>
      <c r="Q669"/>
      <c r="R669"/>
      <c r="S669"/>
      <c r="T669">
        <f>T1812</f>
        <v>0</v>
      </c>
      <c r="U669" s="65">
        <v>104.33</v>
      </c>
      <c r="V669"/>
      <c r="W669" s="58">
        <v>112</v>
      </c>
      <c r="X669"/>
      <c r="Y669"/>
      <c r="Z669"/>
      <c r="AA669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38"/>
      <c r="AW669" s="38"/>
      <c r="AX669" s="38"/>
      <c r="AY669" s="38"/>
      <c r="AZ669" s="6" t="s">
        <v>190</v>
      </c>
      <c r="BA669" s="38"/>
      <c r="BB669" s="6"/>
      <c r="BC669" s="6"/>
      <c r="BD669" s="6"/>
      <c r="BE669" s="6"/>
      <c r="BF669" s="6"/>
      <c r="BG669" s="6"/>
      <c r="BH669" s="6"/>
      <c r="BI669" s="6"/>
      <c r="BJ669" s="6"/>
      <c r="BK669" s="6"/>
    </row>
    <row r="670" spans="1:63" s="19" customFormat="1" ht="15" x14ac:dyDescent="0.25">
      <c r="A670" s="59"/>
      <c r="B670" s="98"/>
      <c r="C670" s="102" t="s">
        <v>63</v>
      </c>
      <c r="D670" s="102"/>
      <c r="E670" s="102"/>
      <c r="F670" s="102"/>
      <c r="G670" s="102"/>
      <c r="H670" s="41"/>
      <c r="I670" s="42"/>
      <c r="J670" s="42"/>
      <c r="K670" s="42"/>
      <c r="L670" s="45"/>
      <c r="M670" s="42"/>
      <c r="N670" s="49">
        <v>3949.28</v>
      </c>
      <c r="O670" s="42"/>
      <c r="P670" s="50">
        <v>532.73749999999995</v>
      </c>
      <c r="Q670"/>
      <c r="R670"/>
      <c r="S670"/>
      <c r="T670">
        <f>T1812</f>
        <v>0</v>
      </c>
      <c r="U670" s="63">
        <f>463.25*(K665/W666)</f>
        <v>463.25</v>
      </c>
      <c r="V670"/>
      <c r="W670" s="58">
        <v>65</v>
      </c>
      <c r="X670"/>
      <c r="Y670"/>
      <c r="Z670"/>
      <c r="AA670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38"/>
      <c r="AW670" s="38"/>
      <c r="AX670" s="38"/>
      <c r="AY670" s="38"/>
      <c r="AZ670" s="6"/>
      <c r="BA670" s="38" t="s">
        <v>63</v>
      </c>
      <c r="BB670" s="6"/>
      <c r="BC670" s="6"/>
      <c r="BD670" s="6"/>
      <c r="BE670" s="6"/>
      <c r="BF670" s="6"/>
      <c r="BG670" s="6"/>
      <c r="BH670" s="6"/>
      <c r="BI670" s="6"/>
      <c r="BJ670" s="6"/>
      <c r="BK670" s="6"/>
    </row>
    <row r="671" spans="1:63" s="19" customFormat="1" ht="15" x14ac:dyDescent="0.25">
      <c r="A671" s="39" t="s">
        <v>677</v>
      </c>
      <c r="B671" s="97" t="s">
        <v>192</v>
      </c>
      <c r="C671" s="103" t="s">
        <v>193</v>
      </c>
      <c r="D671" s="103"/>
      <c r="E671" s="103"/>
      <c r="F671" s="103"/>
      <c r="G671" s="103"/>
      <c r="H671" s="41" t="s">
        <v>170</v>
      </c>
      <c r="I671" s="42">
        <v>0.35893799999999998</v>
      </c>
      <c r="J671" s="43">
        <v>1</v>
      </c>
      <c r="K671" s="68">
        <v>0.35893799999999998</v>
      </c>
      <c r="L671" s="45"/>
      <c r="M671" s="42"/>
      <c r="N671" s="49">
        <v>6212.75</v>
      </c>
      <c r="O671" s="42"/>
      <c r="P671" s="50">
        <v>2564.4884999999995</v>
      </c>
      <c r="Q671"/>
      <c r="R671"/>
      <c r="S671"/>
      <c r="T671">
        <f>T1812</f>
        <v>0</v>
      </c>
      <c r="U671" s="50">
        <f>U672</f>
        <v>2229.9899999999998</v>
      </c>
      <c r="V671"/>
      <c r="W671" s="42"/>
      <c r="X671"/>
      <c r="Y671"/>
      <c r="Z671"/>
      <c r="AA671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38"/>
      <c r="AW671" s="38"/>
      <c r="AX671" s="38" t="s">
        <v>193</v>
      </c>
      <c r="AY671" s="38"/>
      <c r="AZ671" s="6"/>
      <c r="BA671" s="38"/>
      <c r="BB671" s="6"/>
      <c r="BC671" s="6"/>
      <c r="BD671" s="6"/>
      <c r="BE671" s="6"/>
      <c r="BF671" s="6"/>
      <c r="BG671" s="6"/>
      <c r="BH671" s="6"/>
      <c r="BI671" s="6"/>
      <c r="BJ671" s="6"/>
      <c r="BK671" s="6"/>
    </row>
    <row r="672" spans="1:63" s="19" customFormat="1" ht="15" x14ac:dyDescent="0.25">
      <c r="A672" s="59"/>
      <c r="B672" s="98"/>
      <c r="C672" s="102" t="s">
        <v>63</v>
      </c>
      <c r="D672" s="102"/>
      <c r="E672" s="102"/>
      <c r="F672" s="102"/>
      <c r="G672" s="102"/>
      <c r="H672" s="41"/>
      <c r="I672" s="42"/>
      <c r="J672" s="42"/>
      <c r="K672" s="42"/>
      <c r="L672" s="45"/>
      <c r="M672" s="42"/>
      <c r="N672" s="45"/>
      <c r="O672" s="42"/>
      <c r="P672" s="50">
        <v>2564.4884999999995</v>
      </c>
      <c r="Q672"/>
      <c r="R672"/>
      <c r="S672"/>
      <c r="T672">
        <f>T1812</f>
        <v>0</v>
      </c>
      <c r="U672" s="50">
        <f>2229.99*(K671/W672)</f>
        <v>2229.9899999999998</v>
      </c>
      <c r="V672"/>
      <c r="W672" s="68">
        <v>0.35893799999999998</v>
      </c>
      <c r="X672"/>
      <c r="Y672"/>
      <c r="Z672"/>
      <c r="AA672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38"/>
      <c r="AW672" s="38"/>
      <c r="AX672" s="38"/>
      <c r="AY672" s="38"/>
      <c r="AZ672" s="6"/>
      <c r="BA672" s="38" t="s">
        <v>63</v>
      </c>
      <c r="BB672" s="6"/>
      <c r="BC672" s="6"/>
      <c r="BD672" s="6"/>
      <c r="BE672" s="6"/>
      <c r="BF672" s="6"/>
      <c r="BG672" s="6"/>
      <c r="BH672" s="6"/>
      <c r="BI672" s="6"/>
      <c r="BJ672" s="6"/>
      <c r="BK672" s="6"/>
    </row>
    <row r="673" spans="1:63" s="19" customFormat="1" ht="23.25" x14ac:dyDescent="0.25">
      <c r="A673" s="39" t="s">
        <v>678</v>
      </c>
      <c r="B673" s="97" t="s">
        <v>199</v>
      </c>
      <c r="C673" s="103" t="s">
        <v>200</v>
      </c>
      <c r="D673" s="103"/>
      <c r="E673" s="103"/>
      <c r="F673" s="103"/>
      <c r="G673" s="103"/>
      <c r="H673" s="41" t="s">
        <v>55</v>
      </c>
      <c r="I673" s="42">
        <v>0.182</v>
      </c>
      <c r="J673" s="43">
        <v>1</v>
      </c>
      <c r="K673" s="44">
        <v>0.182</v>
      </c>
      <c r="L673" s="45"/>
      <c r="M673" s="42"/>
      <c r="N673" s="45"/>
      <c r="O673" s="42"/>
      <c r="P673" s="50"/>
      <c r="Q673"/>
      <c r="R673"/>
      <c r="S673"/>
      <c r="T673"/>
      <c r="U673" s="46"/>
      <c r="V673"/>
      <c r="W673" s="42"/>
      <c r="X673"/>
      <c r="Y673"/>
      <c r="Z673"/>
      <c r="AA673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38"/>
      <c r="AW673" s="38"/>
      <c r="AX673" s="38" t="s">
        <v>200</v>
      </c>
      <c r="AY673" s="38"/>
      <c r="AZ673" s="6"/>
      <c r="BA673" s="38"/>
      <c r="BB673" s="6"/>
      <c r="BC673" s="6"/>
      <c r="BD673" s="6"/>
      <c r="BE673" s="6"/>
      <c r="BF673" s="6"/>
      <c r="BG673" s="6"/>
      <c r="BH673" s="6"/>
      <c r="BI673" s="6"/>
      <c r="BJ673" s="6"/>
      <c r="BK673" s="6"/>
    </row>
    <row r="674" spans="1:63" s="19" customFormat="1" ht="15" x14ac:dyDescent="0.25">
      <c r="A674" s="47"/>
      <c r="B674" s="48"/>
      <c r="C674" s="102" t="s">
        <v>56</v>
      </c>
      <c r="D674" s="102"/>
      <c r="E674" s="102"/>
      <c r="F674" s="102"/>
      <c r="G674" s="102"/>
      <c r="H674" s="41"/>
      <c r="I674" s="42"/>
      <c r="J674" s="42"/>
      <c r="K674" s="42"/>
      <c r="L674" s="45"/>
      <c r="M674" s="42"/>
      <c r="N674" s="49"/>
      <c r="O674" s="42"/>
      <c r="P674" s="50">
        <v>20427.219999999998</v>
      </c>
      <c r="Q674" s="51"/>
      <c r="R674" s="51"/>
      <c r="S674"/>
      <c r="T674">
        <f>T1812</f>
        <v>0</v>
      </c>
      <c r="U674" s="50">
        <v>17762.8</v>
      </c>
      <c r="V674"/>
      <c r="W674" s="44">
        <v>0.182</v>
      </c>
      <c r="X674"/>
      <c r="Y674"/>
      <c r="Z674"/>
      <c r="AA674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38"/>
      <c r="AW674" s="38"/>
      <c r="AX674" s="38"/>
      <c r="AY674" s="38" t="s">
        <v>56</v>
      </c>
      <c r="AZ674" s="6"/>
      <c r="BA674" s="38"/>
      <c r="BB674" s="6"/>
      <c r="BC674" s="6"/>
      <c r="BD674" s="6"/>
      <c r="BE674" s="6"/>
      <c r="BF674" s="6"/>
      <c r="BG674" s="6"/>
      <c r="BH674" s="6"/>
      <c r="BI674" s="6"/>
      <c r="BJ674" s="6"/>
      <c r="BK674" s="6"/>
    </row>
    <row r="675" spans="1:63" s="19" customFormat="1" ht="15" x14ac:dyDescent="0.25">
      <c r="A675" s="52"/>
      <c r="B675" s="53"/>
      <c r="C675" s="104" t="s">
        <v>57</v>
      </c>
      <c r="D675" s="104"/>
      <c r="E675" s="104"/>
      <c r="F675" s="104"/>
      <c r="G675" s="104"/>
      <c r="H675" s="54"/>
      <c r="I675" s="55"/>
      <c r="J675" s="55"/>
      <c r="K675" s="55"/>
      <c r="L675" s="56"/>
      <c r="M675" s="55"/>
      <c r="N675" s="56"/>
      <c r="O675" s="55"/>
      <c r="P675" s="77">
        <v>20289.035999999996</v>
      </c>
      <c r="Q675"/>
      <c r="R675"/>
      <c r="S675"/>
      <c r="T675">
        <f>T1812</f>
        <v>0</v>
      </c>
      <c r="U675" s="57">
        <v>17642.64</v>
      </c>
      <c r="V675"/>
      <c r="W675" s="42"/>
      <c r="X675"/>
      <c r="Y675"/>
      <c r="Z675"/>
      <c r="AA675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38"/>
      <c r="AW675" s="38"/>
      <c r="AX675" s="38"/>
      <c r="AY675" s="38"/>
      <c r="AZ675" s="6" t="s">
        <v>57</v>
      </c>
      <c r="BA675" s="38"/>
      <c r="BB675" s="6"/>
      <c r="BC675" s="6"/>
      <c r="BD675" s="6"/>
      <c r="BE675" s="6"/>
      <c r="BF675" s="6"/>
      <c r="BG675" s="6"/>
      <c r="BH675" s="6"/>
      <c r="BI675" s="6"/>
      <c r="BJ675" s="6"/>
      <c r="BK675" s="6"/>
    </row>
    <row r="676" spans="1:63" s="19" customFormat="1" ht="15" x14ac:dyDescent="0.25">
      <c r="A676" s="52"/>
      <c r="B676" s="53" t="s">
        <v>187</v>
      </c>
      <c r="C676" s="104" t="s">
        <v>188</v>
      </c>
      <c r="D676" s="104"/>
      <c r="E676" s="104"/>
      <c r="F676" s="104"/>
      <c r="G676" s="104"/>
      <c r="H676" s="54" t="s">
        <v>60</v>
      </c>
      <c r="I676" s="58">
        <v>112</v>
      </c>
      <c r="J676" s="55"/>
      <c r="K676" s="58">
        <v>112</v>
      </c>
      <c r="L676" s="56"/>
      <c r="M676" s="55"/>
      <c r="N676" s="56"/>
      <c r="O676" s="55"/>
      <c r="P676" s="77">
        <v>22723.723999999995</v>
      </c>
      <c r="Q676"/>
      <c r="R676"/>
      <c r="S676"/>
      <c r="T676">
        <f>T1812</f>
        <v>0</v>
      </c>
      <c r="U676" s="57">
        <v>19759.759999999998</v>
      </c>
      <c r="V676"/>
      <c r="W676" s="55"/>
      <c r="X676"/>
      <c r="Y676"/>
      <c r="Z676"/>
      <c r="AA67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38"/>
      <c r="AW676" s="38"/>
      <c r="AX676" s="38"/>
      <c r="AY676" s="38"/>
      <c r="AZ676" s="6" t="s">
        <v>188</v>
      </c>
      <c r="BA676" s="38"/>
      <c r="BB676" s="6"/>
      <c r="BC676" s="6"/>
      <c r="BD676" s="6"/>
      <c r="BE676" s="6"/>
      <c r="BF676" s="6"/>
      <c r="BG676" s="6"/>
      <c r="BH676" s="6"/>
      <c r="BI676" s="6"/>
      <c r="BJ676" s="6"/>
      <c r="BK676" s="6"/>
    </row>
    <row r="677" spans="1:63" s="19" customFormat="1" ht="15" x14ac:dyDescent="0.25">
      <c r="A677" s="52"/>
      <c r="B677" s="53" t="s">
        <v>189</v>
      </c>
      <c r="C677" s="104" t="s">
        <v>190</v>
      </c>
      <c r="D677" s="104"/>
      <c r="E677" s="104"/>
      <c r="F677" s="104"/>
      <c r="G677" s="104"/>
      <c r="H677" s="54" t="s">
        <v>60</v>
      </c>
      <c r="I677" s="58">
        <v>65</v>
      </c>
      <c r="J677" s="55"/>
      <c r="K677" s="58">
        <v>65</v>
      </c>
      <c r="L677" s="56"/>
      <c r="M677" s="55"/>
      <c r="N677" s="56"/>
      <c r="O677" s="55"/>
      <c r="P677" s="77">
        <v>13187.877999999999</v>
      </c>
      <c r="Q677"/>
      <c r="R677"/>
      <c r="S677"/>
      <c r="T677">
        <f>T1812</f>
        <v>0</v>
      </c>
      <c r="U677" s="57">
        <v>11467.72</v>
      </c>
      <c r="V677"/>
      <c r="W677" s="58">
        <v>112</v>
      </c>
      <c r="X677"/>
      <c r="Y677"/>
      <c r="Z677"/>
      <c r="AA677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38"/>
      <c r="AW677" s="38"/>
      <c r="AX677" s="38"/>
      <c r="AY677" s="38"/>
      <c r="AZ677" s="6" t="s">
        <v>190</v>
      </c>
      <c r="BA677" s="38"/>
      <c r="BB677" s="6"/>
      <c r="BC677" s="6"/>
      <c r="BD677" s="6"/>
      <c r="BE677" s="6"/>
      <c r="BF677" s="6"/>
      <c r="BG677" s="6"/>
      <c r="BH677" s="6"/>
      <c r="BI677" s="6"/>
      <c r="BJ677" s="6"/>
      <c r="BK677" s="6"/>
    </row>
    <row r="678" spans="1:63" s="19" customFormat="1" ht="15" x14ac:dyDescent="0.25">
      <c r="A678" s="59"/>
      <c r="B678" s="98"/>
      <c r="C678" s="102" t="s">
        <v>63</v>
      </c>
      <c r="D678" s="102"/>
      <c r="E678" s="102"/>
      <c r="F678" s="102"/>
      <c r="G678" s="102"/>
      <c r="H678" s="41"/>
      <c r="I678" s="42"/>
      <c r="J678" s="42"/>
      <c r="K678" s="42"/>
      <c r="L678" s="45"/>
      <c r="M678" s="42"/>
      <c r="N678" s="49">
        <v>326601.87</v>
      </c>
      <c r="O678" s="42"/>
      <c r="P678" s="50">
        <v>56338.821999999993</v>
      </c>
      <c r="Q678"/>
      <c r="R678"/>
      <c r="S678"/>
      <c r="T678">
        <f>T1812</f>
        <v>0</v>
      </c>
      <c r="U678" s="50">
        <f>48990.28*(K673/W674)</f>
        <v>48990.28</v>
      </c>
      <c r="V678"/>
      <c r="W678" s="58">
        <v>65</v>
      </c>
      <c r="X678"/>
      <c r="Y678"/>
      <c r="Z678"/>
      <c r="AA678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38"/>
      <c r="AW678" s="38"/>
      <c r="AX678" s="38"/>
      <c r="AY678" s="38"/>
      <c r="AZ678" s="6"/>
      <c r="BA678" s="38" t="s">
        <v>63</v>
      </c>
      <c r="BB678" s="6"/>
      <c r="BC678" s="6"/>
      <c r="BD678" s="6"/>
      <c r="BE678" s="6"/>
      <c r="BF678" s="6"/>
      <c r="BG678" s="6"/>
      <c r="BH678" s="6"/>
      <c r="BI678" s="6"/>
      <c r="BJ678" s="6"/>
      <c r="BK678" s="6"/>
    </row>
    <row r="679" spans="1:63" s="19" customFormat="1" ht="23.25" x14ac:dyDescent="0.25">
      <c r="A679" s="39" t="s">
        <v>679</v>
      </c>
      <c r="B679" s="97" t="s">
        <v>202</v>
      </c>
      <c r="C679" s="103" t="s">
        <v>203</v>
      </c>
      <c r="D679" s="103"/>
      <c r="E679" s="103"/>
      <c r="F679" s="103"/>
      <c r="G679" s="103"/>
      <c r="H679" s="41" t="s">
        <v>67</v>
      </c>
      <c r="I679" s="42">
        <v>3</v>
      </c>
      <c r="J679" s="43">
        <v>1</v>
      </c>
      <c r="K679" s="43">
        <v>3</v>
      </c>
      <c r="L679" s="49">
        <v>1284.05</v>
      </c>
      <c r="M679" s="67">
        <v>1.2</v>
      </c>
      <c r="N679" s="49">
        <v>1540.86</v>
      </c>
      <c r="O679" s="42"/>
      <c r="P679" s="50">
        <v>5315.9669999999996</v>
      </c>
      <c r="Q679"/>
      <c r="R679"/>
      <c r="S679"/>
      <c r="T679">
        <f>T1812</f>
        <v>0</v>
      </c>
      <c r="U679" s="50">
        <f>U680</f>
        <v>4622.58</v>
      </c>
      <c r="V679"/>
      <c r="W679" s="42"/>
      <c r="X679"/>
      <c r="Y679"/>
      <c r="Z679"/>
      <c r="AA679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38"/>
      <c r="AW679" s="38"/>
      <c r="AX679" s="38" t="s">
        <v>203</v>
      </c>
      <c r="AY679" s="38"/>
      <c r="AZ679" s="6"/>
      <c r="BA679" s="38"/>
      <c r="BB679" s="6"/>
      <c r="BC679" s="6"/>
      <c r="BD679" s="6"/>
      <c r="BE679" s="6"/>
      <c r="BF679" s="6"/>
      <c r="BG679" s="6"/>
      <c r="BH679" s="6"/>
      <c r="BI679" s="6"/>
      <c r="BJ679" s="6"/>
      <c r="BK679" s="6"/>
    </row>
    <row r="680" spans="1:63" s="19" customFormat="1" ht="15" x14ac:dyDescent="0.25">
      <c r="A680" s="59"/>
      <c r="B680" s="98"/>
      <c r="C680" s="102" t="s">
        <v>63</v>
      </c>
      <c r="D680" s="102"/>
      <c r="E680" s="102"/>
      <c r="F680" s="102"/>
      <c r="G680" s="102"/>
      <c r="H680" s="41"/>
      <c r="I680" s="42"/>
      <c r="J680" s="42"/>
      <c r="K680" s="42"/>
      <c r="L680" s="45"/>
      <c r="M680" s="42"/>
      <c r="N680" s="45"/>
      <c r="O680" s="42"/>
      <c r="P680" s="50">
        <v>5315.9669999999996</v>
      </c>
      <c r="Q680"/>
      <c r="R680"/>
      <c r="S680"/>
      <c r="T680">
        <f>T1812</f>
        <v>0</v>
      </c>
      <c r="U680" s="50">
        <f>4622.58*(K679/W680)</f>
        <v>4622.58</v>
      </c>
      <c r="V680"/>
      <c r="W680" s="43">
        <v>3</v>
      </c>
      <c r="X680"/>
      <c r="Y680"/>
      <c r="Z680"/>
      <c r="AA680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38"/>
      <c r="AW680" s="38"/>
      <c r="AX680" s="38"/>
      <c r="AY680" s="38"/>
      <c r="AZ680" s="6"/>
      <c r="BA680" s="38" t="s">
        <v>63</v>
      </c>
      <c r="BB680" s="6"/>
      <c r="BC680" s="6"/>
      <c r="BD680" s="6"/>
      <c r="BE680" s="6"/>
      <c r="BF680" s="6"/>
      <c r="BG680" s="6"/>
      <c r="BH680" s="6"/>
      <c r="BI680" s="6"/>
      <c r="BJ680" s="6"/>
      <c r="BK680" s="6"/>
    </row>
    <row r="681" spans="1:63" s="19" customFormat="1" ht="34.5" x14ac:dyDescent="0.25">
      <c r="A681" s="39" t="s">
        <v>680</v>
      </c>
      <c r="B681" s="97" t="s">
        <v>205</v>
      </c>
      <c r="C681" s="103" t="s">
        <v>206</v>
      </c>
      <c r="D681" s="103"/>
      <c r="E681" s="103"/>
      <c r="F681" s="103"/>
      <c r="G681" s="103"/>
      <c r="H681" s="41" t="s">
        <v>71</v>
      </c>
      <c r="I681" s="42">
        <v>0.18</v>
      </c>
      <c r="J681" s="43">
        <v>1</v>
      </c>
      <c r="K681" s="62">
        <v>0.18</v>
      </c>
      <c r="L681" s="49">
        <v>36038.35</v>
      </c>
      <c r="M681" s="62">
        <v>1.1399999999999999</v>
      </c>
      <c r="N681" s="49">
        <v>41083.72</v>
      </c>
      <c r="O681" s="42"/>
      <c r="P681" s="50">
        <v>8504.3304999999982</v>
      </c>
      <c r="Q681"/>
      <c r="R681"/>
      <c r="S681"/>
      <c r="T681">
        <f>T1812</f>
        <v>0</v>
      </c>
      <c r="U681" s="50">
        <f>U682</f>
        <v>7395.07</v>
      </c>
      <c r="V681"/>
      <c r="W681" s="42"/>
      <c r="X681"/>
      <c r="Y681"/>
      <c r="Z681"/>
      <c r="AA681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38"/>
      <c r="AW681" s="38"/>
      <c r="AX681" s="38" t="s">
        <v>206</v>
      </c>
      <c r="AY681" s="38"/>
      <c r="AZ681" s="6"/>
      <c r="BA681" s="38"/>
      <c r="BB681" s="6"/>
      <c r="BC681" s="6"/>
      <c r="BD681" s="6"/>
      <c r="BE681" s="6"/>
      <c r="BF681" s="6"/>
      <c r="BG681" s="6"/>
      <c r="BH681" s="6"/>
      <c r="BI681" s="6"/>
      <c r="BJ681" s="6"/>
      <c r="BK681" s="6"/>
    </row>
    <row r="682" spans="1:63" s="19" customFormat="1" ht="15" x14ac:dyDescent="0.25">
      <c r="A682" s="59"/>
      <c r="B682" s="98"/>
      <c r="C682" s="102" t="s">
        <v>63</v>
      </c>
      <c r="D682" s="102"/>
      <c r="E682" s="102"/>
      <c r="F682" s="102"/>
      <c r="G682" s="102"/>
      <c r="H682" s="41"/>
      <c r="I682" s="42"/>
      <c r="J682" s="42"/>
      <c r="K682" s="42"/>
      <c r="L682" s="45"/>
      <c r="M682" s="42"/>
      <c r="N682" s="45"/>
      <c r="O682" s="42"/>
      <c r="P682" s="50">
        <v>8504.3304999999982</v>
      </c>
      <c r="Q682"/>
      <c r="R682"/>
      <c r="S682"/>
      <c r="T682">
        <f>T1812</f>
        <v>0</v>
      </c>
      <c r="U682" s="50">
        <f>7395.07*(K681/W682)</f>
        <v>7395.07</v>
      </c>
      <c r="V682"/>
      <c r="W682" s="62">
        <v>0.18</v>
      </c>
      <c r="X682"/>
      <c r="Y682"/>
      <c r="Z682"/>
      <c r="AA682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38"/>
      <c r="AW682" s="38"/>
      <c r="AX682" s="38"/>
      <c r="AY682" s="38"/>
      <c r="AZ682" s="6"/>
      <c r="BA682" s="38" t="s">
        <v>63</v>
      </c>
      <c r="BB682" s="6"/>
      <c r="BC682" s="6"/>
      <c r="BD682" s="6"/>
      <c r="BE682" s="6"/>
      <c r="BF682" s="6"/>
      <c r="BG682" s="6"/>
      <c r="BH682" s="6"/>
      <c r="BI682" s="6"/>
      <c r="BJ682" s="6"/>
      <c r="BK682" s="6"/>
    </row>
    <row r="683" spans="1:63" s="19" customFormat="1" ht="40.5" customHeight="1" x14ac:dyDescent="0.25">
      <c r="A683" s="39" t="s">
        <v>681</v>
      </c>
      <c r="B683" s="97" t="s">
        <v>208</v>
      </c>
      <c r="C683" s="103" t="s">
        <v>305</v>
      </c>
      <c r="D683" s="103"/>
      <c r="E683" s="103"/>
      <c r="F683" s="103"/>
      <c r="G683" s="103"/>
      <c r="H683" s="41" t="s">
        <v>105</v>
      </c>
      <c r="I683" s="42">
        <v>15.02</v>
      </c>
      <c r="J683" s="43">
        <v>1</v>
      </c>
      <c r="K683" s="62">
        <v>15.02</v>
      </c>
      <c r="L683" s="61">
        <v>603.37</v>
      </c>
      <c r="M683" s="62">
        <v>1.25</v>
      </c>
      <c r="N683" s="61">
        <v>754.21</v>
      </c>
      <c r="O683" s="42"/>
      <c r="P683" s="50">
        <v>13270.321499999998</v>
      </c>
      <c r="Q683"/>
      <c r="R683"/>
      <c r="S683"/>
      <c r="T683">
        <f>T1812</f>
        <v>0</v>
      </c>
      <c r="U683" s="50">
        <f>U684</f>
        <v>15685.243276018098</v>
      </c>
      <c r="V683"/>
      <c r="W683" s="42"/>
      <c r="X683"/>
      <c r="Y683"/>
      <c r="Z683"/>
      <c r="AA683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38"/>
      <c r="AW683" s="38"/>
      <c r="AX683" s="38" t="s">
        <v>209</v>
      </c>
      <c r="AY683" s="38"/>
      <c r="AZ683" s="6"/>
      <c r="BA683" s="38"/>
      <c r="BB683" s="6"/>
      <c r="BC683" s="6"/>
      <c r="BD683" s="6"/>
      <c r="BE683" s="6"/>
      <c r="BF683" s="6"/>
      <c r="BG683" s="6"/>
      <c r="BH683" s="6"/>
      <c r="BI683" s="6"/>
      <c r="BJ683" s="6"/>
      <c r="BK683" s="6"/>
    </row>
    <row r="684" spans="1:63" s="19" customFormat="1" ht="15" x14ac:dyDescent="0.25">
      <c r="A684" s="59"/>
      <c r="B684" s="98"/>
      <c r="C684" s="102" t="s">
        <v>63</v>
      </c>
      <c r="D684" s="102"/>
      <c r="E684" s="102"/>
      <c r="F684" s="102"/>
      <c r="G684" s="102"/>
      <c r="H684" s="41"/>
      <c r="I684" s="42"/>
      <c r="J684" s="42"/>
      <c r="K684" s="42"/>
      <c r="L684" s="45"/>
      <c r="M684" s="42"/>
      <c r="N684" s="45"/>
      <c r="O684" s="42"/>
      <c r="P684" s="50">
        <v>13270.321499999998</v>
      </c>
      <c r="Q684"/>
      <c r="R684"/>
      <c r="S684"/>
      <c r="T684">
        <f>T1812</f>
        <v>0</v>
      </c>
      <c r="U684" s="50">
        <f>11539.41*(K683/W684)</f>
        <v>15685.243276018098</v>
      </c>
      <c r="V684"/>
      <c r="W684" s="67">
        <v>11.05</v>
      </c>
      <c r="X684"/>
      <c r="Y684"/>
      <c r="Z684"/>
      <c r="AA684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38"/>
      <c r="AW684" s="38"/>
      <c r="AX684" s="38"/>
      <c r="AY684" s="38"/>
      <c r="AZ684" s="6"/>
      <c r="BA684" s="38" t="s">
        <v>63</v>
      </c>
      <c r="BB684" s="6"/>
      <c r="BC684" s="6"/>
      <c r="BD684" s="6"/>
      <c r="BE684" s="6"/>
      <c r="BF684" s="6"/>
      <c r="BG684" s="6"/>
      <c r="BH684" s="6"/>
      <c r="BI684" s="6"/>
      <c r="BJ684" s="6"/>
      <c r="BK684" s="6"/>
    </row>
    <row r="685" spans="1:63" s="19" customFormat="1" ht="15" x14ac:dyDescent="0.25">
      <c r="A685" s="107" t="s">
        <v>210</v>
      </c>
      <c r="B685" s="108"/>
      <c r="C685" s="108"/>
      <c r="D685" s="108"/>
      <c r="E685" s="108"/>
      <c r="F685" s="108"/>
      <c r="G685" s="108"/>
      <c r="H685" s="108"/>
      <c r="I685" s="108"/>
      <c r="J685" s="108"/>
      <c r="K685" s="108"/>
      <c r="L685" s="108"/>
      <c r="M685" s="108"/>
      <c r="N685" s="108"/>
      <c r="O685" s="108"/>
      <c r="P685" s="109"/>
      <c r="Q685"/>
      <c r="R685"/>
      <c r="S685"/>
      <c r="T685"/>
      <c r="U685"/>
      <c r="V685"/>
      <c r="W685" s="42"/>
      <c r="X685"/>
      <c r="Y685"/>
      <c r="Z685"/>
      <c r="AA685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38"/>
      <c r="AW685" s="38" t="s">
        <v>210</v>
      </c>
      <c r="AX685" s="38"/>
      <c r="AY685" s="38"/>
      <c r="AZ685" s="6"/>
      <c r="BA685" s="38"/>
      <c r="BB685" s="6"/>
      <c r="BC685" s="6"/>
      <c r="BD685" s="6"/>
      <c r="BE685" s="6"/>
      <c r="BF685" s="6"/>
      <c r="BG685" s="6"/>
      <c r="BH685" s="6"/>
      <c r="BI685" s="6"/>
      <c r="BJ685" s="6"/>
      <c r="BK685" s="6"/>
    </row>
    <row r="686" spans="1:63" s="19" customFormat="1" ht="15" x14ac:dyDescent="0.25">
      <c r="A686" s="39" t="s">
        <v>682</v>
      </c>
      <c r="B686" s="97" t="s">
        <v>212</v>
      </c>
      <c r="C686" s="103" t="s">
        <v>213</v>
      </c>
      <c r="D686" s="103"/>
      <c r="E686" s="103"/>
      <c r="F686" s="103"/>
      <c r="G686" s="103"/>
      <c r="H686" s="41" t="s">
        <v>214</v>
      </c>
      <c r="I686" s="42">
        <v>0.1</v>
      </c>
      <c r="J686" s="43">
        <v>1</v>
      </c>
      <c r="K686" s="67">
        <v>0.1</v>
      </c>
      <c r="L686" s="45"/>
      <c r="M686" s="42"/>
      <c r="N686" s="45"/>
      <c r="O686" s="42"/>
      <c r="P686" s="46"/>
      <c r="Q686"/>
      <c r="R686"/>
      <c r="S686"/>
      <c r="T686"/>
      <c r="U686"/>
      <c r="V686"/>
      <c r="W686" s="67">
        <v>0.1</v>
      </c>
      <c r="X686"/>
      <c r="Y686"/>
      <c r="Z686"/>
      <c r="AA68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38"/>
      <c r="AW686" s="38"/>
      <c r="AX686" s="38" t="s">
        <v>213</v>
      </c>
      <c r="AY686" s="38"/>
      <c r="AZ686" s="6"/>
      <c r="BA686" s="38"/>
      <c r="BB686" s="6"/>
      <c r="BC686" s="6"/>
      <c r="BD686" s="6"/>
      <c r="BE686" s="6"/>
      <c r="BF686" s="6"/>
      <c r="BG686" s="6"/>
      <c r="BH686" s="6"/>
      <c r="BI686" s="6"/>
      <c r="BJ686" s="6"/>
      <c r="BK686" s="6"/>
    </row>
    <row r="687" spans="1:63" s="19" customFormat="1" ht="15" x14ac:dyDescent="0.25">
      <c r="A687" s="47"/>
      <c r="B687" s="48"/>
      <c r="C687" s="102" t="s">
        <v>56</v>
      </c>
      <c r="D687" s="102"/>
      <c r="E687" s="102"/>
      <c r="F687" s="102"/>
      <c r="G687" s="102"/>
      <c r="H687" s="41"/>
      <c r="I687" s="42"/>
      <c r="J687" s="42"/>
      <c r="K687" s="42"/>
      <c r="L687" s="45"/>
      <c r="M687" s="42"/>
      <c r="N687" s="49"/>
      <c r="O687" s="42"/>
      <c r="P687" s="50">
        <v>442.25549999999998</v>
      </c>
      <c r="Q687" s="51"/>
      <c r="R687" s="51"/>
      <c r="S687"/>
      <c r="T687">
        <f>T1812</f>
        <v>0</v>
      </c>
      <c r="U687" s="50">
        <v>384.57</v>
      </c>
      <c r="V687"/>
      <c r="W687" s="42"/>
      <c r="X687"/>
      <c r="Y687"/>
      <c r="Z687"/>
      <c r="AA687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38"/>
      <c r="AW687" s="38"/>
      <c r="AX687" s="38"/>
      <c r="AY687" s="38" t="s">
        <v>56</v>
      </c>
      <c r="AZ687" s="6"/>
      <c r="BA687" s="38"/>
      <c r="BB687" s="6"/>
      <c r="BC687" s="6"/>
      <c r="BD687" s="6"/>
      <c r="BE687" s="6"/>
      <c r="BF687" s="6"/>
      <c r="BG687" s="6"/>
      <c r="BH687" s="6"/>
      <c r="BI687" s="6"/>
      <c r="BJ687" s="6"/>
      <c r="BK687" s="6"/>
    </row>
    <row r="688" spans="1:63" s="19" customFormat="1" ht="15" x14ac:dyDescent="0.25">
      <c r="A688" s="52"/>
      <c r="B688" s="53"/>
      <c r="C688" s="104" t="s">
        <v>57</v>
      </c>
      <c r="D688" s="104"/>
      <c r="E688" s="104"/>
      <c r="F688" s="104"/>
      <c r="G688" s="104"/>
      <c r="H688" s="54"/>
      <c r="I688" s="55"/>
      <c r="J688" s="55"/>
      <c r="K688" s="55"/>
      <c r="L688" s="56"/>
      <c r="M688" s="55"/>
      <c r="N688" s="56"/>
      <c r="O688" s="55"/>
      <c r="P688" s="77">
        <v>389.29799999999994</v>
      </c>
      <c r="Q688"/>
      <c r="R688"/>
      <c r="S688"/>
      <c r="T688">
        <f>T1812</f>
        <v>0</v>
      </c>
      <c r="U688" s="65">
        <v>338.52</v>
      </c>
      <c r="V688"/>
      <c r="W688" s="55"/>
      <c r="X688"/>
      <c r="Y688"/>
      <c r="Z688"/>
      <c r="AA688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38"/>
      <c r="AW688" s="38"/>
      <c r="AX688" s="38"/>
      <c r="AY688" s="38"/>
      <c r="AZ688" s="6" t="s">
        <v>57</v>
      </c>
      <c r="BA688" s="38"/>
      <c r="BB688" s="6"/>
      <c r="BC688" s="6"/>
      <c r="BD688" s="6"/>
      <c r="BE688" s="6"/>
      <c r="BF688" s="6"/>
      <c r="BG688" s="6"/>
      <c r="BH688" s="6"/>
      <c r="BI688" s="6"/>
      <c r="BJ688" s="6"/>
      <c r="BK688" s="6"/>
    </row>
    <row r="689" spans="1:63" s="19" customFormat="1" ht="34.5" x14ac:dyDescent="0.25">
      <c r="A689" s="52"/>
      <c r="B689" s="53" t="s">
        <v>215</v>
      </c>
      <c r="C689" s="104" t="s">
        <v>216</v>
      </c>
      <c r="D689" s="104"/>
      <c r="E689" s="104"/>
      <c r="F689" s="104"/>
      <c r="G689" s="104"/>
      <c r="H689" s="54" t="s">
        <v>60</v>
      </c>
      <c r="I689" s="58">
        <v>121</v>
      </c>
      <c r="J689" s="55"/>
      <c r="K689" s="58">
        <v>121</v>
      </c>
      <c r="L689" s="56"/>
      <c r="M689" s="55"/>
      <c r="N689" s="56"/>
      <c r="O689" s="55"/>
      <c r="P689" s="77">
        <v>471.05149999999998</v>
      </c>
      <c r="Q689"/>
      <c r="R689"/>
      <c r="S689"/>
      <c r="T689">
        <f>T1812</f>
        <v>0</v>
      </c>
      <c r="U689" s="65">
        <v>409.61</v>
      </c>
      <c r="V689"/>
      <c r="W689" s="58">
        <v>121</v>
      </c>
      <c r="X689"/>
      <c r="Y689"/>
      <c r="Z689"/>
      <c r="AA689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38"/>
      <c r="AW689" s="38"/>
      <c r="AX689" s="38"/>
      <c r="AY689" s="38"/>
      <c r="AZ689" s="6" t="s">
        <v>216</v>
      </c>
      <c r="BA689" s="38"/>
      <c r="BB689" s="6"/>
      <c r="BC689" s="6"/>
      <c r="BD689" s="6"/>
      <c r="BE689" s="6"/>
      <c r="BF689" s="6"/>
      <c r="BG689" s="6"/>
      <c r="BH689" s="6"/>
      <c r="BI689" s="6"/>
      <c r="BJ689" s="6"/>
      <c r="BK689" s="6"/>
    </row>
    <row r="690" spans="1:63" s="19" customFormat="1" ht="34.5" x14ac:dyDescent="0.25">
      <c r="A690" s="52"/>
      <c r="B690" s="53" t="s">
        <v>217</v>
      </c>
      <c r="C690" s="104" t="s">
        <v>218</v>
      </c>
      <c r="D690" s="104"/>
      <c r="E690" s="104"/>
      <c r="F690" s="104"/>
      <c r="G690" s="104"/>
      <c r="H690" s="54" t="s">
        <v>60</v>
      </c>
      <c r="I690" s="58">
        <v>72</v>
      </c>
      <c r="J690" s="55"/>
      <c r="K690" s="58">
        <v>72</v>
      </c>
      <c r="L690" s="56"/>
      <c r="M690" s="55"/>
      <c r="N690" s="56"/>
      <c r="O690" s="55"/>
      <c r="P690" s="77">
        <v>280.28949999999998</v>
      </c>
      <c r="Q690"/>
      <c r="R690"/>
      <c r="S690"/>
      <c r="T690">
        <f>T1812</f>
        <v>0</v>
      </c>
      <c r="U690" s="65">
        <v>243.73</v>
      </c>
      <c r="V690"/>
      <c r="W690" s="58">
        <v>72</v>
      </c>
      <c r="X690"/>
      <c r="Y690"/>
      <c r="Z690"/>
      <c r="AA690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38"/>
      <c r="AW690" s="38"/>
      <c r="AX690" s="38"/>
      <c r="AY690" s="38"/>
      <c r="AZ690" s="6" t="s">
        <v>218</v>
      </c>
      <c r="BA690" s="38"/>
      <c r="BB690" s="6"/>
      <c r="BC690" s="6"/>
      <c r="BD690" s="6"/>
      <c r="BE690" s="6"/>
      <c r="BF690" s="6"/>
      <c r="BG690" s="6"/>
      <c r="BH690" s="6"/>
      <c r="BI690" s="6"/>
      <c r="BJ690" s="6"/>
      <c r="BK690" s="6"/>
    </row>
    <row r="691" spans="1:63" s="19" customFormat="1" ht="15" x14ac:dyDescent="0.25">
      <c r="A691" s="59"/>
      <c r="B691" s="98"/>
      <c r="C691" s="102" t="s">
        <v>63</v>
      </c>
      <c r="D691" s="102"/>
      <c r="E691" s="102"/>
      <c r="F691" s="102"/>
      <c r="G691" s="102"/>
      <c r="H691" s="41"/>
      <c r="I691" s="42"/>
      <c r="J691" s="42"/>
      <c r="K691" s="42"/>
      <c r="L691" s="45"/>
      <c r="M691" s="42"/>
      <c r="N691" s="49">
        <v>10379.1</v>
      </c>
      <c r="O691" s="42"/>
      <c r="P691" s="50">
        <v>1193.5965000000001</v>
      </c>
      <c r="Q691"/>
      <c r="R691"/>
      <c r="S691"/>
      <c r="T691">
        <f>T1812</f>
        <v>0</v>
      </c>
      <c r="U691" s="50">
        <f>1037.91*(K686/W686)</f>
        <v>1037.9100000000001</v>
      </c>
      <c r="V691"/>
      <c r="W691" s="42"/>
      <c r="X691"/>
      <c r="Y691"/>
      <c r="Z691"/>
      <c r="AA691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38"/>
      <c r="AW691" s="38"/>
      <c r="AX691" s="38"/>
      <c r="AY691" s="38"/>
      <c r="AZ691" s="6"/>
      <c r="BA691" s="38" t="s">
        <v>63</v>
      </c>
      <c r="BB691" s="6"/>
      <c r="BC691" s="6"/>
      <c r="BD691" s="6"/>
      <c r="BE691" s="6"/>
      <c r="BF691" s="6"/>
      <c r="BG691" s="6"/>
      <c r="BH691" s="6"/>
      <c r="BI691" s="6"/>
      <c r="BJ691" s="6"/>
      <c r="BK691" s="6"/>
    </row>
    <row r="692" spans="1:63" s="19" customFormat="1" ht="34.5" x14ac:dyDescent="0.25">
      <c r="A692" s="39" t="s">
        <v>683</v>
      </c>
      <c r="B692" s="97" t="s">
        <v>220</v>
      </c>
      <c r="C692" s="103" t="s">
        <v>221</v>
      </c>
      <c r="D692" s="103"/>
      <c r="E692" s="103"/>
      <c r="F692" s="103"/>
      <c r="G692" s="103"/>
      <c r="H692" s="41" t="s">
        <v>222</v>
      </c>
      <c r="I692" s="42">
        <v>1</v>
      </c>
      <c r="J692" s="43">
        <v>1</v>
      </c>
      <c r="K692" s="43">
        <v>1</v>
      </c>
      <c r="L692" s="49">
        <v>8514.9500000000007</v>
      </c>
      <c r="M692" s="62">
        <v>1.17</v>
      </c>
      <c r="N692" s="49">
        <v>9962.49</v>
      </c>
      <c r="O692" s="42"/>
      <c r="P692" s="50">
        <v>11456.863499999999</v>
      </c>
      <c r="Q692"/>
      <c r="R692"/>
      <c r="S692"/>
      <c r="T692">
        <f>T1812</f>
        <v>0</v>
      </c>
      <c r="U692" s="50">
        <f>U693</f>
        <v>9962.49</v>
      </c>
      <c r="V692"/>
      <c r="W692" s="43">
        <v>1</v>
      </c>
      <c r="X692"/>
      <c r="Y692"/>
      <c r="Z692"/>
      <c r="AA692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38"/>
      <c r="AW692" s="38"/>
      <c r="AX692" s="38" t="s">
        <v>221</v>
      </c>
      <c r="AY692" s="38"/>
      <c r="AZ692" s="6"/>
      <c r="BA692" s="38"/>
      <c r="BB692" s="6"/>
      <c r="BC692" s="6"/>
      <c r="BD692" s="6"/>
      <c r="BE692" s="6"/>
      <c r="BF692" s="6"/>
      <c r="BG692" s="6"/>
      <c r="BH692" s="6"/>
      <c r="BI692" s="6"/>
      <c r="BJ692" s="6"/>
      <c r="BK692" s="6"/>
    </row>
    <row r="693" spans="1:63" s="19" customFormat="1" ht="15" x14ac:dyDescent="0.25">
      <c r="A693" s="59"/>
      <c r="B693" s="98"/>
      <c r="C693" s="102" t="s">
        <v>63</v>
      </c>
      <c r="D693" s="102"/>
      <c r="E693" s="102"/>
      <c r="F693" s="102"/>
      <c r="G693" s="102"/>
      <c r="H693" s="41"/>
      <c r="I693" s="42"/>
      <c r="J693" s="42"/>
      <c r="K693" s="42"/>
      <c r="L693" s="45"/>
      <c r="M693" s="42"/>
      <c r="N693" s="45"/>
      <c r="O693" s="42"/>
      <c r="P693" s="50">
        <v>11456.863499999999</v>
      </c>
      <c r="Q693"/>
      <c r="R693"/>
      <c r="S693"/>
      <c r="T693">
        <f>T1812</f>
        <v>0</v>
      </c>
      <c r="U693" s="50">
        <f>9962.49*(K692/W692)</f>
        <v>9962.49</v>
      </c>
      <c r="V693"/>
      <c r="W693" s="42"/>
      <c r="X693"/>
      <c r="Y693"/>
      <c r="Z693"/>
      <c r="AA693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38"/>
      <c r="AW693" s="38"/>
      <c r="AX693" s="38"/>
      <c r="AY693" s="38"/>
      <c r="AZ693" s="6"/>
      <c r="BA693" s="38" t="s">
        <v>63</v>
      </c>
      <c r="BB693" s="6"/>
      <c r="BC693" s="6"/>
      <c r="BD693" s="6"/>
      <c r="BE693" s="6"/>
      <c r="BF693" s="6"/>
      <c r="BG693" s="6"/>
      <c r="BH693" s="6"/>
      <c r="BI693" s="6"/>
      <c r="BJ693" s="6"/>
      <c r="BK693" s="6"/>
    </row>
    <row r="694" spans="1:63" s="19" customFormat="1" ht="15" x14ac:dyDescent="0.25">
      <c r="A694" s="39" t="s">
        <v>684</v>
      </c>
      <c r="B694" s="97" t="s">
        <v>306</v>
      </c>
      <c r="C694" s="103" t="s">
        <v>307</v>
      </c>
      <c r="D694" s="103"/>
      <c r="E694" s="103"/>
      <c r="F694" s="103"/>
      <c r="G694" s="103"/>
      <c r="H694" s="41" t="s">
        <v>75</v>
      </c>
      <c r="I694" s="42">
        <v>0.03</v>
      </c>
      <c r="J694" s="43">
        <v>1</v>
      </c>
      <c r="K694" s="62">
        <v>0.03</v>
      </c>
      <c r="L694" s="45"/>
      <c r="M694" s="42"/>
      <c r="N694" s="45"/>
      <c r="O694" s="42"/>
      <c r="P694" s="50"/>
      <c r="Q694"/>
      <c r="R694"/>
      <c r="S694"/>
      <c r="T694"/>
      <c r="U694" s="46"/>
      <c r="V694"/>
      <c r="W694" s="62">
        <v>0.03</v>
      </c>
      <c r="X694"/>
      <c r="Y694"/>
      <c r="Z694"/>
      <c r="AA694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38"/>
      <c r="AW694" s="38"/>
      <c r="AX694" s="38" t="s">
        <v>224</v>
      </c>
      <c r="AY694" s="38"/>
      <c r="AZ694" s="6"/>
      <c r="BA694" s="38"/>
      <c r="BB694" s="6"/>
      <c r="BC694" s="6"/>
      <c r="BD694" s="6"/>
      <c r="BE694" s="6"/>
      <c r="BF694" s="6"/>
      <c r="BG694" s="6"/>
      <c r="BH694" s="6"/>
      <c r="BI694" s="6"/>
      <c r="BJ694" s="6"/>
      <c r="BK694" s="6"/>
    </row>
    <row r="695" spans="1:63" s="19" customFormat="1" ht="15" x14ac:dyDescent="0.25">
      <c r="A695" s="47"/>
      <c r="B695" s="48"/>
      <c r="C695" s="102" t="s">
        <v>56</v>
      </c>
      <c r="D695" s="102"/>
      <c r="E695" s="102"/>
      <c r="F695" s="102"/>
      <c r="G695" s="102"/>
      <c r="H695" s="41"/>
      <c r="I695" s="42"/>
      <c r="J695" s="42"/>
      <c r="K695" s="42"/>
      <c r="L695" s="45"/>
      <c r="M695" s="42"/>
      <c r="N695" s="49"/>
      <c r="O695" s="42"/>
      <c r="P695" s="50">
        <v>3628.2</v>
      </c>
      <c r="Q695" s="51"/>
      <c r="R695" s="51"/>
      <c r="S695"/>
      <c r="T695">
        <f>T1812</f>
        <v>0</v>
      </c>
      <c r="U695" s="50">
        <v>3628.2</v>
      </c>
      <c r="V695"/>
      <c r="W695" s="42"/>
      <c r="X695"/>
      <c r="Y695"/>
      <c r="Z695"/>
      <c r="AA695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38"/>
      <c r="AW695" s="38"/>
      <c r="AX695" s="38"/>
      <c r="AY695" s="38" t="s">
        <v>56</v>
      </c>
      <c r="AZ695" s="6"/>
      <c r="BA695" s="38"/>
      <c r="BB695" s="6"/>
      <c r="BC695" s="6"/>
      <c r="BD695" s="6"/>
      <c r="BE695" s="6"/>
      <c r="BF695" s="6"/>
      <c r="BG695" s="6"/>
      <c r="BH695" s="6"/>
      <c r="BI695" s="6"/>
      <c r="BJ695" s="6"/>
      <c r="BK695" s="6"/>
    </row>
    <row r="696" spans="1:63" s="19" customFormat="1" ht="15" x14ac:dyDescent="0.25">
      <c r="A696" s="52"/>
      <c r="B696" s="53"/>
      <c r="C696" s="104" t="s">
        <v>57</v>
      </c>
      <c r="D696" s="104"/>
      <c r="E696" s="104"/>
      <c r="F696" s="104"/>
      <c r="G696" s="104"/>
      <c r="H696" s="54"/>
      <c r="I696" s="55"/>
      <c r="J696" s="55"/>
      <c r="K696" s="55"/>
      <c r="L696" s="56"/>
      <c r="M696" s="55"/>
      <c r="N696" s="56"/>
      <c r="O696" s="55"/>
      <c r="P696" s="77"/>
      <c r="Q696"/>
      <c r="R696"/>
      <c r="S696"/>
      <c r="T696">
        <f>T1812</f>
        <v>0</v>
      </c>
      <c r="U696" s="57">
        <v>14372.62</v>
      </c>
      <c r="V696"/>
      <c r="W696" s="55"/>
      <c r="X696"/>
      <c r="Y696"/>
      <c r="Z696"/>
      <c r="AA69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38"/>
      <c r="AW696" s="38"/>
      <c r="AX696" s="38"/>
      <c r="AY696" s="38"/>
      <c r="AZ696" s="6" t="s">
        <v>57</v>
      </c>
      <c r="BA696" s="38"/>
      <c r="BB696" s="6"/>
      <c r="BC696" s="6"/>
      <c r="BD696" s="6"/>
      <c r="BE696" s="6"/>
      <c r="BF696" s="6"/>
      <c r="BG696" s="6"/>
      <c r="BH696" s="6"/>
      <c r="BI696" s="6"/>
      <c r="BJ696" s="6"/>
      <c r="BK696" s="6"/>
    </row>
    <row r="697" spans="1:63" s="19" customFormat="1" ht="34.5" x14ac:dyDescent="0.25">
      <c r="A697" s="52"/>
      <c r="B697" s="53" t="s">
        <v>225</v>
      </c>
      <c r="C697" s="104" t="s">
        <v>226</v>
      </c>
      <c r="D697" s="104"/>
      <c r="E697" s="104"/>
      <c r="F697" s="104"/>
      <c r="G697" s="104"/>
      <c r="H697" s="54" t="s">
        <v>60</v>
      </c>
      <c r="I697" s="58">
        <v>103</v>
      </c>
      <c r="J697" s="55"/>
      <c r="K697" s="58">
        <v>103</v>
      </c>
      <c r="L697" s="56"/>
      <c r="M697" s="55"/>
      <c r="N697" s="56"/>
      <c r="O697" s="55"/>
      <c r="P697" s="77"/>
      <c r="Q697"/>
      <c r="R697"/>
      <c r="S697"/>
      <c r="T697">
        <f>T1812</f>
        <v>0</v>
      </c>
      <c r="U697" s="57">
        <v>14803.8</v>
      </c>
      <c r="V697"/>
      <c r="W697" s="58">
        <v>103</v>
      </c>
      <c r="X697"/>
      <c r="Y697"/>
      <c r="Z697"/>
      <c r="AA697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38"/>
      <c r="AW697" s="38"/>
      <c r="AX697" s="38"/>
      <c r="AY697" s="38"/>
      <c r="AZ697" s="6" t="s">
        <v>226</v>
      </c>
      <c r="BA697" s="38"/>
      <c r="BB697" s="6"/>
      <c r="BC697" s="6"/>
      <c r="BD697" s="6"/>
      <c r="BE697" s="6"/>
      <c r="BF697" s="6"/>
      <c r="BG697" s="6"/>
      <c r="BH697" s="6"/>
      <c r="BI697" s="6"/>
      <c r="BJ697" s="6"/>
      <c r="BK697" s="6"/>
    </row>
    <row r="698" spans="1:63" s="19" customFormat="1" ht="34.5" x14ac:dyDescent="0.25">
      <c r="A698" s="52"/>
      <c r="B698" s="53" t="s">
        <v>227</v>
      </c>
      <c r="C698" s="104" t="s">
        <v>228</v>
      </c>
      <c r="D698" s="104"/>
      <c r="E698" s="104"/>
      <c r="F698" s="104"/>
      <c r="G698" s="104"/>
      <c r="H698" s="54" t="s">
        <v>60</v>
      </c>
      <c r="I698" s="58">
        <v>52</v>
      </c>
      <c r="J698" s="55"/>
      <c r="K698" s="58">
        <v>52</v>
      </c>
      <c r="L698" s="56"/>
      <c r="M698" s="55"/>
      <c r="N698" s="56"/>
      <c r="O698" s="55"/>
      <c r="P698" s="77">
        <v>8594.8239999999987</v>
      </c>
      <c r="Q698"/>
      <c r="R698"/>
      <c r="S698"/>
      <c r="T698">
        <f>T1812</f>
        <v>0</v>
      </c>
      <c r="U698" s="57">
        <v>7473.76</v>
      </c>
      <c r="V698"/>
      <c r="W698" s="58">
        <v>52</v>
      </c>
      <c r="X698"/>
      <c r="Y698"/>
      <c r="Z698"/>
      <c r="AA698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38"/>
      <c r="AW698" s="38"/>
      <c r="AX698" s="38"/>
      <c r="AY698" s="38"/>
      <c r="AZ698" s="6" t="s">
        <v>228</v>
      </c>
      <c r="BA698" s="38"/>
      <c r="BB698" s="6"/>
      <c r="BC698" s="6"/>
      <c r="BD698" s="6"/>
      <c r="BE698" s="6"/>
      <c r="BF698" s="6"/>
      <c r="BG698" s="6"/>
      <c r="BH698" s="6"/>
      <c r="BI698" s="6"/>
      <c r="BJ698" s="6"/>
      <c r="BK698" s="6"/>
    </row>
    <row r="699" spans="1:63" s="19" customFormat="1" ht="15" x14ac:dyDescent="0.25">
      <c r="A699" s="59"/>
      <c r="B699" s="98"/>
      <c r="C699" s="102" t="s">
        <v>63</v>
      </c>
      <c r="D699" s="102"/>
      <c r="E699" s="102"/>
      <c r="F699" s="102"/>
      <c r="G699" s="102"/>
      <c r="H699" s="41"/>
      <c r="I699" s="42"/>
      <c r="J699" s="42"/>
      <c r="K699" s="42"/>
      <c r="L699" s="45"/>
      <c r="M699" s="42"/>
      <c r="N699" s="49">
        <v>1837308.5</v>
      </c>
      <c r="O699" s="42"/>
      <c r="P699" s="50">
        <v>10884.599999999999</v>
      </c>
      <c r="Q699"/>
      <c r="R699"/>
      <c r="S699"/>
      <c r="T699">
        <f>T1812</f>
        <v>0</v>
      </c>
      <c r="U699" s="50">
        <f>10884.6*(K694/W694)</f>
        <v>10884.6</v>
      </c>
      <c r="V699"/>
      <c r="W699" s="42"/>
      <c r="X699"/>
      <c r="Y699"/>
      <c r="Z699"/>
      <c r="AA699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38"/>
      <c r="AW699" s="38"/>
      <c r="AX699" s="38"/>
      <c r="AY699" s="38"/>
      <c r="AZ699" s="6"/>
      <c r="BA699" s="38" t="s">
        <v>63</v>
      </c>
      <c r="BB699" s="6"/>
      <c r="BC699" s="6"/>
      <c r="BD699" s="6"/>
      <c r="BE699" s="6"/>
      <c r="BF699" s="6"/>
      <c r="BG699" s="6"/>
      <c r="BH699" s="6"/>
      <c r="BI699" s="6"/>
      <c r="BJ699" s="6"/>
      <c r="BK699" s="6"/>
    </row>
    <row r="700" spans="1:63" s="19" customFormat="1" ht="23.25" x14ac:dyDescent="0.25">
      <c r="A700" s="39" t="s">
        <v>685</v>
      </c>
      <c r="B700" s="97" t="s">
        <v>230</v>
      </c>
      <c r="C700" s="105" t="s">
        <v>310</v>
      </c>
      <c r="D700" s="105"/>
      <c r="E700" s="105"/>
      <c r="F700" s="105"/>
      <c r="G700" s="105"/>
      <c r="H700" s="41" t="s">
        <v>222</v>
      </c>
      <c r="I700" s="42">
        <v>3</v>
      </c>
      <c r="J700" s="43">
        <v>1</v>
      </c>
      <c r="K700" s="43">
        <v>3</v>
      </c>
      <c r="L700" s="49">
        <v>3432.22</v>
      </c>
      <c r="M700" s="67">
        <v>1.3</v>
      </c>
      <c r="N700" s="49">
        <v>4461.8900000000003</v>
      </c>
      <c r="O700" s="42"/>
      <c r="P700" s="50">
        <f>15393.5205+7500</f>
        <v>22893.520499999999</v>
      </c>
      <c r="Q700"/>
      <c r="R700"/>
      <c r="S700"/>
      <c r="T700">
        <f>T1812</f>
        <v>0</v>
      </c>
      <c r="U700" s="50">
        <f>U701</f>
        <v>13385.670000000002</v>
      </c>
      <c r="V700"/>
      <c r="W700" s="43">
        <v>2</v>
      </c>
      <c r="X700"/>
      <c r="Y700"/>
      <c r="Z700"/>
      <c r="AA700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38"/>
      <c r="AW700" s="38"/>
      <c r="AX700" s="38" t="s">
        <v>231</v>
      </c>
      <c r="AY700" s="38"/>
      <c r="AZ700" s="6"/>
      <c r="BA700" s="38"/>
      <c r="BB700" s="6"/>
      <c r="BC700" s="6"/>
      <c r="BD700" s="6"/>
      <c r="BE700" s="6"/>
      <c r="BF700" s="6"/>
      <c r="BG700" s="6"/>
      <c r="BH700" s="6"/>
      <c r="BI700" s="6"/>
      <c r="BJ700" s="6"/>
      <c r="BK700" s="6"/>
    </row>
    <row r="701" spans="1:63" s="19" customFormat="1" ht="15" x14ac:dyDescent="0.25">
      <c r="A701" s="59"/>
      <c r="B701" s="98"/>
      <c r="C701" s="106" t="s">
        <v>63</v>
      </c>
      <c r="D701" s="106"/>
      <c r="E701" s="106"/>
      <c r="F701" s="106"/>
      <c r="G701" s="106"/>
      <c r="H701" s="41"/>
      <c r="I701" s="42"/>
      <c r="J701" s="42"/>
      <c r="K701" s="42"/>
      <c r="L701" s="45"/>
      <c r="M701" s="42"/>
      <c r="N701" s="45"/>
      <c r="O701" s="42"/>
      <c r="P701" s="50">
        <f>P700</f>
        <v>22893.520499999999</v>
      </c>
      <c r="Q701"/>
      <c r="R701"/>
      <c r="S701"/>
      <c r="T701">
        <f>T1812</f>
        <v>0</v>
      </c>
      <c r="U701" s="50">
        <f>8923.78*(K700/W700)</f>
        <v>13385.670000000002</v>
      </c>
      <c r="V701"/>
      <c r="W701" s="42"/>
      <c r="X701"/>
      <c r="Y701"/>
      <c r="Z701"/>
      <c r="AA701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38"/>
      <c r="AW701" s="38"/>
      <c r="AX701" s="38"/>
      <c r="AY701" s="38"/>
      <c r="AZ701" s="6"/>
      <c r="BA701" s="38" t="s">
        <v>63</v>
      </c>
      <c r="BB701" s="6"/>
      <c r="BC701" s="6"/>
      <c r="BD701" s="6"/>
      <c r="BE701" s="6"/>
      <c r="BF701" s="6"/>
      <c r="BG701" s="6"/>
      <c r="BH701" s="6"/>
      <c r="BI701" s="6"/>
      <c r="BJ701" s="6"/>
      <c r="BK701" s="6"/>
    </row>
    <row r="702" spans="1:63" s="19" customFormat="1" ht="15" x14ac:dyDescent="0.25">
      <c r="A702" s="39" t="s">
        <v>686</v>
      </c>
      <c r="B702" s="97" t="s">
        <v>233</v>
      </c>
      <c r="C702" s="103" t="s">
        <v>234</v>
      </c>
      <c r="D702" s="103"/>
      <c r="E702" s="103"/>
      <c r="F702" s="103"/>
      <c r="G702" s="103"/>
      <c r="H702" s="41" t="s">
        <v>75</v>
      </c>
      <c r="I702" s="42">
        <v>0.03</v>
      </c>
      <c r="J702" s="43">
        <v>1</v>
      </c>
      <c r="K702" s="62">
        <v>0.03</v>
      </c>
      <c r="L702" s="45"/>
      <c r="M702" s="42"/>
      <c r="N702" s="45"/>
      <c r="O702" s="42"/>
      <c r="P702" s="50"/>
      <c r="Q702"/>
      <c r="R702"/>
      <c r="S702"/>
      <c r="T702"/>
      <c r="U702" s="46"/>
      <c r="V702"/>
      <c r="W702" s="62">
        <v>0.02</v>
      </c>
      <c r="X702"/>
      <c r="Y702"/>
      <c r="Z702"/>
      <c r="AA702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38"/>
      <c r="AW702" s="38"/>
      <c r="AX702" s="38" t="s">
        <v>234</v>
      </c>
      <c r="AY702" s="38"/>
      <c r="AZ702" s="6"/>
      <c r="BA702" s="38"/>
      <c r="BB702" s="6"/>
      <c r="BC702" s="6"/>
      <c r="BD702" s="6"/>
      <c r="BE702" s="6"/>
      <c r="BF702" s="6"/>
      <c r="BG702" s="6"/>
      <c r="BH702" s="6"/>
      <c r="BI702" s="6"/>
      <c r="BJ702" s="6"/>
      <c r="BK702" s="6"/>
    </row>
    <row r="703" spans="1:63" s="19" customFormat="1" ht="15" x14ac:dyDescent="0.25">
      <c r="A703" s="47"/>
      <c r="B703" s="48"/>
      <c r="C703" s="102" t="s">
        <v>56</v>
      </c>
      <c r="D703" s="102"/>
      <c r="E703" s="102"/>
      <c r="F703" s="102"/>
      <c r="G703" s="102"/>
      <c r="H703" s="41"/>
      <c r="I703" s="42"/>
      <c r="J703" s="42"/>
      <c r="K703" s="42"/>
      <c r="L703" s="45"/>
      <c r="M703" s="42"/>
      <c r="N703" s="49"/>
      <c r="O703" s="42"/>
      <c r="P703" s="50">
        <v>951.78599999999994</v>
      </c>
      <c r="Q703" s="51"/>
      <c r="R703" s="51"/>
      <c r="S703"/>
      <c r="T703">
        <f>T1812</f>
        <v>0</v>
      </c>
      <c r="U703" s="50">
        <v>827.64</v>
      </c>
      <c r="V703"/>
      <c r="W703" s="42"/>
      <c r="X703"/>
      <c r="Y703"/>
      <c r="Z703"/>
      <c r="AA703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38"/>
      <c r="AW703" s="38"/>
      <c r="AX703" s="38"/>
      <c r="AY703" s="38" t="s">
        <v>56</v>
      </c>
      <c r="AZ703" s="6"/>
      <c r="BA703" s="38"/>
      <c r="BB703" s="6"/>
      <c r="BC703" s="6"/>
      <c r="BD703" s="6"/>
      <c r="BE703" s="6"/>
      <c r="BF703" s="6"/>
      <c r="BG703" s="6"/>
      <c r="BH703" s="6"/>
      <c r="BI703" s="6"/>
      <c r="BJ703" s="6"/>
      <c r="BK703" s="6"/>
    </row>
    <row r="704" spans="1:63" s="19" customFormat="1" ht="15" x14ac:dyDescent="0.25">
      <c r="A704" s="52"/>
      <c r="B704" s="53"/>
      <c r="C704" s="104" t="s">
        <v>57</v>
      </c>
      <c r="D704" s="104"/>
      <c r="E704" s="104"/>
      <c r="F704" s="104"/>
      <c r="G704" s="104"/>
      <c r="H704" s="54"/>
      <c r="I704" s="55"/>
      <c r="J704" s="55"/>
      <c r="K704" s="55"/>
      <c r="L704" s="56"/>
      <c r="M704" s="55"/>
      <c r="N704" s="56"/>
      <c r="O704" s="55"/>
      <c r="P704" s="77">
        <v>652.09599999999989</v>
      </c>
      <c r="Q704"/>
      <c r="R704"/>
      <c r="S704"/>
      <c r="T704">
        <f>T1812</f>
        <v>0</v>
      </c>
      <c r="U704" s="65">
        <v>567.04</v>
      </c>
      <c r="V704"/>
      <c r="W704" s="55"/>
      <c r="X704"/>
      <c r="Y704"/>
      <c r="Z704"/>
      <c r="AA704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38"/>
      <c r="AW704" s="38"/>
      <c r="AX704" s="38"/>
      <c r="AY704" s="38"/>
      <c r="AZ704" s="6" t="s">
        <v>57</v>
      </c>
      <c r="BA704" s="38"/>
      <c r="BB704" s="6"/>
      <c r="BC704" s="6"/>
      <c r="BD704" s="6"/>
      <c r="BE704" s="6"/>
      <c r="BF704" s="6"/>
      <c r="BG704" s="6"/>
      <c r="BH704" s="6"/>
      <c r="BI704" s="6"/>
      <c r="BJ704" s="6"/>
      <c r="BK704" s="6"/>
    </row>
    <row r="705" spans="1:63" s="19" customFormat="1" ht="34.5" x14ac:dyDescent="0.25">
      <c r="A705" s="52"/>
      <c r="B705" s="53" t="s">
        <v>225</v>
      </c>
      <c r="C705" s="104" t="s">
        <v>226</v>
      </c>
      <c r="D705" s="104"/>
      <c r="E705" s="104"/>
      <c r="F705" s="104"/>
      <c r="G705" s="104"/>
      <c r="H705" s="54" t="s">
        <v>60</v>
      </c>
      <c r="I705" s="58">
        <v>103</v>
      </c>
      <c r="J705" s="55"/>
      <c r="K705" s="58">
        <v>103</v>
      </c>
      <c r="L705" s="56"/>
      <c r="M705" s="55"/>
      <c r="N705" s="56"/>
      <c r="O705" s="55"/>
      <c r="P705" s="77">
        <v>671.65749999999991</v>
      </c>
      <c r="Q705"/>
      <c r="R705"/>
      <c r="S705"/>
      <c r="T705">
        <f>T1812</f>
        <v>0</v>
      </c>
      <c r="U705" s="65">
        <v>584.04999999999995</v>
      </c>
      <c r="V705"/>
      <c r="W705" s="58">
        <v>103</v>
      </c>
      <c r="X705"/>
      <c r="Y705"/>
      <c r="Z705"/>
      <c r="AA705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38"/>
      <c r="AW705" s="38"/>
      <c r="AX705" s="38"/>
      <c r="AY705" s="38"/>
      <c r="AZ705" s="6" t="s">
        <v>226</v>
      </c>
      <c r="BA705" s="38"/>
      <c r="BB705" s="6"/>
      <c r="BC705" s="6"/>
      <c r="BD705" s="6"/>
      <c r="BE705" s="6"/>
      <c r="BF705" s="6"/>
      <c r="BG705" s="6"/>
      <c r="BH705" s="6"/>
      <c r="BI705" s="6"/>
      <c r="BJ705" s="6"/>
      <c r="BK705" s="6"/>
    </row>
    <row r="706" spans="1:63" s="19" customFormat="1" ht="34.5" x14ac:dyDescent="0.25">
      <c r="A706" s="52"/>
      <c r="B706" s="53" t="s">
        <v>227</v>
      </c>
      <c r="C706" s="104" t="s">
        <v>228</v>
      </c>
      <c r="D706" s="104"/>
      <c r="E706" s="104"/>
      <c r="F706" s="104"/>
      <c r="G706" s="104"/>
      <c r="H706" s="54" t="s">
        <v>60</v>
      </c>
      <c r="I706" s="58">
        <v>52</v>
      </c>
      <c r="J706" s="55"/>
      <c r="K706" s="58">
        <v>52</v>
      </c>
      <c r="L706" s="56"/>
      <c r="M706" s="55"/>
      <c r="N706" s="56"/>
      <c r="O706" s="55"/>
      <c r="P706" s="77">
        <v>339.089</v>
      </c>
      <c r="Q706"/>
      <c r="R706"/>
      <c r="S706"/>
      <c r="T706">
        <f>T1812</f>
        <v>0</v>
      </c>
      <c r="U706" s="65">
        <v>294.86</v>
      </c>
      <c r="V706"/>
      <c r="W706" s="58">
        <v>52</v>
      </c>
      <c r="X706"/>
      <c r="Y706"/>
      <c r="Z706"/>
      <c r="AA70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38"/>
      <c r="AW706" s="38"/>
      <c r="AX706" s="38"/>
      <c r="AY706" s="38"/>
      <c r="AZ706" s="6" t="s">
        <v>228</v>
      </c>
      <c r="BA706" s="38"/>
      <c r="BB706" s="6"/>
      <c r="BC706" s="6"/>
      <c r="BD706" s="6"/>
      <c r="BE706" s="6"/>
      <c r="BF706" s="6"/>
      <c r="BG706" s="6"/>
      <c r="BH706" s="6"/>
      <c r="BI706" s="6"/>
      <c r="BJ706" s="6"/>
      <c r="BK706" s="6"/>
    </row>
    <row r="707" spans="1:63" s="19" customFormat="1" ht="15" x14ac:dyDescent="0.25">
      <c r="A707" s="59"/>
      <c r="B707" s="98"/>
      <c r="C707" s="102" t="s">
        <v>63</v>
      </c>
      <c r="D707" s="102"/>
      <c r="E707" s="102"/>
      <c r="F707" s="102"/>
      <c r="G707" s="102"/>
      <c r="H707" s="41"/>
      <c r="I707" s="42"/>
      <c r="J707" s="42"/>
      <c r="K707" s="42"/>
      <c r="L707" s="45"/>
      <c r="M707" s="42"/>
      <c r="N707" s="49">
        <v>85327.5</v>
      </c>
      <c r="O707" s="42"/>
      <c r="P707" s="50">
        <f>2943.79875+1940.78</f>
        <v>4884.5787499999997</v>
      </c>
      <c r="Q707"/>
      <c r="R707"/>
      <c r="S707"/>
      <c r="T707">
        <f>T1812</f>
        <v>0</v>
      </c>
      <c r="U707" s="50">
        <f>1706.55*(K702/W702)</f>
        <v>2559.8249999999998</v>
      </c>
      <c r="V707"/>
      <c r="W707" s="42"/>
      <c r="X707"/>
      <c r="Y707"/>
      <c r="Z707"/>
      <c r="AA707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38"/>
      <c r="AW707" s="38"/>
      <c r="AX707" s="38"/>
      <c r="AY707" s="38"/>
      <c r="AZ707" s="6"/>
      <c r="BA707" s="38" t="s">
        <v>63</v>
      </c>
      <c r="BB707" s="6"/>
      <c r="BC707" s="6"/>
      <c r="BD707" s="6"/>
      <c r="BE707" s="6"/>
      <c r="BF707" s="6"/>
      <c r="BG707" s="6"/>
      <c r="BH707" s="6"/>
      <c r="BI707" s="6"/>
      <c r="BJ707" s="6"/>
      <c r="BK707" s="6"/>
    </row>
    <row r="708" spans="1:63" s="19" customFormat="1" ht="23.25" x14ac:dyDescent="0.25">
      <c r="A708" s="39" t="s">
        <v>687</v>
      </c>
      <c r="B708" s="97" t="s">
        <v>236</v>
      </c>
      <c r="C708" s="103" t="s">
        <v>237</v>
      </c>
      <c r="D708" s="103"/>
      <c r="E708" s="103"/>
      <c r="F708" s="103"/>
      <c r="G708" s="103"/>
      <c r="H708" s="41" t="s">
        <v>222</v>
      </c>
      <c r="I708" s="42">
        <v>3</v>
      </c>
      <c r="J708" s="43">
        <v>1</v>
      </c>
      <c r="K708" s="43">
        <v>3</v>
      </c>
      <c r="L708" s="61">
        <v>237.33</v>
      </c>
      <c r="M708" s="62">
        <v>1.1299999999999999</v>
      </c>
      <c r="N708" s="61">
        <v>268.18</v>
      </c>
      <c r="O708" s="42"/>
      <c r="P708" s="50">
        <v>925.22099999999989</v>
      </c>
      <c r="Q708"/>
      <c r="R708"/>
      <c r="S708"/>
      <c r="T708">
        <f>T1812</f>
        <v>0</v>
      </c>
      <c r="U708" s="63">
        <f>U709</f>
        <v>804.54</v>
      </c>
      <c r="V708"/>
      <c r="W708" s="43">
        <v>2</v>
      </c>
      <c r="X708"/>
      <c r="Y708"/>
      <c r="Z708"/>
      <c r="AA708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38"/>
      <c r="AW708" s="38"/>
      <c r="AX708" s="38" t="s">
        <v>237</v>
      </c>
      <c r="AY708" s="38"/>
      <c r="AZ708" s="6"/>
      <c r="BA708" s="38"/>
      <c r="BB708" s="6"/>
      <c r="BC708" s="6"/>
      <c r="BD708" s="6"/>
      <c r="BE708" s="6"/>
      <c r="BF708" s="6"/>
      <c r="BG708" s="6"/>
      <c r="BH708" s="6"/>
      <c r="BI708" s="6"/>
      <c r="BJ708" s="6"/>
      <c r="BK708" s="6"/>
    </row>
    <row r="709" spans="1:63" s="19" customFormat="1" ht="15" x14ac:dyDescent="0.25">
      <c r="A709" s="59"/>
      <c r="B709" s="98"/>
      <c r="C709" s="102" t="s">
        <v>63</v>
      </c>
      <c r="D709" s="102"/>
      <c r="E709" s="102"/>
      <c r="F709" s="102"/>
      <c r="G709" s="102"/>
      <c r="H709" s="41"/>
      <c r="I709" s="42"/>
      <c r="J709" s="42"/>
      <c r="K709" s="42"/>
      <c r="L709" s="45"/>
      <c r="M709" s="42"/>
      <c r="N709" s="45"/>
      <c r="O709" s="42"/>
      <c r="P709" s="50">
        <v>925.22099999999989</v>
      </c>
      <c r="Q709"/>
      <c r="R709"/>
      <c r="S709"/>
      <c r="T709">
        <f>T1812</f>
        <v>0</v>
      </c>
      <c r="U709" s="63">
        <f>536.36*(K708/W708)</f>
        <v>804.54</v>
      </c>
      <c r="V709"/>
      <c r="W709" s="42"/>
      <c r="X709"/>
      <c r="Y709"/>
      <c r="Z709"/>
      <c r="AA709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38"/>
      <c r="AW709" s="38"/>
      <c r="AX709" s="38"/>
      <c r="AY709" s="38"/>
      <c r="AZ709" s="6"/>
      <c r="BA709" s="38" t="s">
        <v>63</v>
      </c>
      <c r="BB709" s="6"/>
      <c r="BC709" s="6"/>
      <c r="BD709" s="6"/>
      <c r="BE709" s="6"/>
      <c r="BF709" s="6"/>
      <c r="BG709" s="6"/>
      <c r="BH709" s="6"/>
      <c r="BI709" s="6"/>
      <c r="BJ709" s="6"/>
      <c r="BK709" s="6"/>
    </row>
    <row r="710" spans="1:63" s="19" customFormat="1" ht="23.25" x14ac:dyDescent="0.25">
      <c r="A710" s="39" t="s">
        <v>688</v>
      </c>
      <c r="B710" s="97" t="s">
        <v>239</v>
      </c>
      <c r="C710" s="103" t="s">
        <v>240</v>
      </c>
      <c r="D710" s="103"/>
      <c r="E710" s="103"/>
      <c r="F710" s="103"/>
      <c r="G710" s="103"/>
      <c r="H710" s="41" t="s">
        <v>125</v>
      </c>
      <c r="I710" s="42">
        <v>0.02</v>
      </c>
      <c r="J710" s="43">
        <v>1</v>
      </c>
      <c r="K710" s="62">
        <v>0.02</v>
      </c>
      <c r="L710" s="45"/>
      <c r="M710" s="42"/>
      <c r="N710" s="45"/>
      <c r="O710" s="42"/>
      <c r="P710" s="50"/>
      <c r="Q710"/>
      <c r="R710"/>
      <c r="S710"/>
      <c r="T710"/>
      <c r="U710" s="46"/>
      <c r="V710"/>
      <c r="W710" s="62">
        <v>0.02</v>
      </c>
      <c r="X710"/>
      <c r="Y710"/>
      <c r="Z710"/>
      <c r="AA710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38"/>
      <c r="AW710" s="38"/>
      <c r="AX710" s="38" t="s">
        <v>240</v>
      </c>
      <c r="AY710" s="38"/>
      <c r="AZ710" s="6"/>
      <c r="BA710" s="38"/>
      <c r="BB710" s="6"/>
      <c r="BC710" s="6"/>
      <c r="BD710" s="6"/>
      <c r="BE710" s="6"/>
      <c r="BF710" s="6"/>
      <c r="BG710" s="6"/>
      <c r="BH710" s="6"/>
      <c r="BI710" s="6"/>
      <c r="BJ710" s="6"/>
      <c r="BK710" s="6"/>
    </row>
    <row r="711" spans="1:63" s="19" customFormat="1" ht="15" x14ac:dyDescent="0.25">
      <c r="A711" s="47"/>
      <c r="B711" s="48"/>
      <c r="C711" s="102" t="s">
        <v>56</v>
      </c>
      <c r="D711" s="102"/>
      <c r="E711" s="102"/>
      <c r="F711" s="102"/>
      <c r="G711" s="102"/>
      <c r="H711" s="41"/>
      <c r="I711" s="42"/>
      <c r="J711" s="42"/>
      <c r="K711" s="42"/>
      <c r="L711" s="45"/>
      <c r="M711" s="42"/>
      <c r="N711" s="49"/>
      <c r="O711" s="42"/>
      <c r="P711" s="50">
        <v>559.98099999999999</v>
      </c>
      <c r="Q711" s="51"/>
      <c r="R711" s="51"/>
      <c r="S711"/>
      <c r="T711">
        <f>T1812</f>
        <v>0</v>
      </c>
      <c r="U711" s="50">
        <v>486.94</v>
      </c>
      <c r="V711"/>
      <c r="W711" s="42"/>
      <c r="X711"/>
      <c r="Y711"/>
      <c r="Z711"/>
      <c r="AA711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38"/>
      <c r="AW711" s="38"/>
      <c r="AX711" s="38"/>
      <c r="AY711" s="38" t="s">
        <v>56</v>
      </c>
      <c r="AZ711" s="6"/>
      <c r="BA711" s="38"/>
      <c r="BB711" s="6"/>
      <c r="BC711" s="6"/>
      <c r="BD711" s="6"/>
      <c r="BE711" s="6"/>
      <c r="BF711" s="6"/>
      <c r="BG711" s="6"/>
      <c r="BH711" s="6"/>
      <c r="BI711" s="6"/>
      <c r="BJ711" s="6"/>
      <c r="BK711" s="6"/>
    </row>
    <row r="712" spans="1:63" s="19" customFormat="1" ht="15" x14ac:dyDescent="0.25">
      <c r="A712" s="52"/>
      <c r="B712" s="53"/>
      <c r="C712" s="104" t="s">
        <v>57</v>
      </c>
      <c r="D712" s="104"/>
      <c r="E712" s="104"/>
      <c r="F712" s="104"/>
      <c r="G712" s="104"/>
      <c r="H712" s="54"/>
      <c r="I712" s="55"/>
      <c r="J712" s="55"/>
      <c r="K712" s="55"/>
      <c r="L712" s="56"/>
      <c r="M712" s="55"/>
      <c r="N712" s="56"/>
      <c r="O712" s="55"/>
      <c r="P712" s="77">
        <v>549.83799999999997</v>
      </c>
      <c r="Q712"/>
      <c r="R712"/>
      <c r="S712"/>
      <c r="T712">
        <f>T1812</f>
        <v>0</v>
      </c>
      <c r="U712" s="65">
        <v>478.12</v>
      </c>
      <c r="V712"/>
      <c r="W712" s="55"/>
      <c r="X712"/>
      <c r="Y712"/>
      <c r="Z712"/>
      <c r="AA712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38"/>
      <c r="AW712" s="38"/>
      <c r="AX712" s="38"/>
      <c r="AY712" s="38"/>
      <c r="AZ712" s="6" t="s">
        <v>57</v>
      </c>
      <c r="BA712" s="38"/>
      <c r="BB712" s="6"/>
      <c r="BC712" s="6"/>
      <c r="BD712" s="6"/>
      <c r="BE712" s="6"/>
      <c r="BF712" s="6"/>
      <c r="BG712" s="6"/>
      <c r="BH712" s="6"/>
      <c r="BI712" s="6"/>
      <c r="BJ712" s="6"/>
      <c r="BK712" s="6"/>
    </row>
    <row r="713" spans="1:63" s="19" customFormat="1" ht="34.5" x14ac:dyDescent="0.25">
      <c r="A713" s="52"/>
      <c r="B713" s="53" t="s">
        <v>215</v>
      </c>
      <c r="C713" s="104" t="s">
        <v>216</v>
      </c>
      <c r="D713" s="104"/>
      <c r="E713" s="104"/>
      <c r="F713" s="104"/>
      <c r="G713" s="104"/>
      <c r="H713" s="54" t="s">
        <v>60</v>
      </c>
      <c r="I713" s="58">
        <v>121</v>
      </c>
      <c r="J713" s="55"/>
      <c r="K713" s="58">
        <v>121</v>
      </c>
      <c r="L713" s="56"/>
      <c r="M713" s="55"/>
      <c r="N713" s="56"/>
      <c r="O713" s="55"/>
      <c r="P713" s="77">
        <v>665.30949999999996</v>
      </c>
      <c r="Q713"/>
      <c r="R713"/>
      <c r="S713"/>
      <c r="T713">
        <f>T1812</f>
        <v>0</v>
      </c>
      <c r="U713" s="65">
        <v>578.53</v>
      </c>
      <c r="V713"/>
      <c r="W713" s="58">
        <v>121</v>
      </c>
      <c r="X713"/>
      <c r="Y713"/>
      <c r="Z713"/>
      <c r="AA713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38"/>
      <c r="AW713" s="38"/>
      <c r="AX713" s="38"/>
      <c r="AY713" s="38"/>
      <c r="AZ713" s="6" t="s">
        <v>216</v>
      </c>
      <c r="BA713" s="38"/>
      <c r="BB713" s="6"/>
      <c r="BC713" s="6"/>
      <c r="BD713" s="6"/>
      <c r="BE713" s="6"/>
      <c r="BF713" s="6"/>
      <c r="BG713" s="6"/>
      <c r="BH713" s="6"/>
      <c r="BI713" s="6"/>
      <c r="BJ713" s="6"/>
      <c r="BK713" s="6"/>
    </row>
    <row r="714" spans="1:63" s="19" customFormat="1" ht="34.5" x14ac:dyDescent="0.25">
      <c r="A714" s="52"/>
      <c r="B714" s="53" t="s">
        <v>217</v>
      </c>
      <c r="C714" s="104" t="s">
        <v>218</v>
      </c>
      <c r="D714" s="104"/>
      <c r="E714" s="104"/>
      <c r="F714" s="104"/>
      <c r="G714" s="104"/>
      <c r="H714" s="54" t="s">
        <v>60</v>
      </c>
      <c r="I714" s="58">
        <v>72</v>
      </c>
      <c r="J714" s="55"/>
      <c r="K714" s="58">
        <v>72</v>
      </c>
      <c r="L714" s="56"/>
      <c r="M714" s="55"/>
      <c r="N714" s="56"/>
      <c r="O714" s="55"/>
      <c r="P714" s="77">
        <v>395.88749999999999</v>
      </c>
      <c r="Q714"/>
      <c r="R714"/>
      <c r="S714"/>
      <c r="T714">
        <f>T1812</f>
        <v>0</v>
      </c>
      <c r="U714" s="65">
        <v>344.25</v>
      </c>
      <c r="V714"/>
      <c r="W714" s="58">
        <v>72</v>
      </c>
      <c r="X714"/>
      <c r="Y714"/>
      <c r="Z714"/>
      <c r="AA714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38"/>
      <c r="AW714" s="38"/>
      <c r="AX714" s="38"/>
      <c r="AY714" s="38"/>
      <c r="AZ714" s="6" t="s">
        <v>218</v>
      </c>
      <c r="BA714" s="38"/>
      <c r="BB714" s="6"/>
      <c r="BC714" s="6"/>
      <c r="BD714" s="6"/>
      <c r="BE714" s="6"/>
      <c r="BF714" s="6"/>
      <c r="BG714" s="6"/>
      <c r="BH714" s="6"/>
      <c r="BI714" s="6"/>
      <c r="BJ714" s="6"/>
      <c r="BK714" s="6"/>
    </row>
    <row r="715" spans="1:63" s="19" customFormat="1" ht="15" x14ac:dyDescent="0.25">
      <c r="A715" s="59"/>
      <c r="B715" s="98"/>
      <c r="C715" s="102" t="s">
        <v>63</v>
      </c>
      <c r="D715" s="102"/>
      <c r="E715" s="102"/>
      <c r="F715" s="102"/>
      <c r="G715" s="102"/>
      <c r="H715" s="41"/>
      <c r="I715" s="42"/>
      <c r="J715" s="42"/>
      <c r="K715" s="42"/>
      <c r="L715" s="45"/>
      <c r="M715" s="42"/>
      <c r="N715" s="49">
        <v>70486</v>
      </c>
      <c r="O715" s="42"/>
      <c r="P715" s="50">
        <v>1621.1779999999999</v>
      </c>
      <c r="Q715"/>
      <c r="R715"/>
      <c r="S715"/>
      <c r="T715">
        <f>T1812</f>
        <v>0</v>
      </c>
      <c r="U715" s="50">
        <f>1409.72*(K710/W710)</f>
        <v>1409.72</v>
      </c>
      <c r="V715"/>
      <c r="W715" s="42"/>
      <c r="X715"/>
      <c r="Y715"/>
      <c r="Z715"/>
      <c r="AA715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38"/>
      <c r="AW715" s="38"/>
      <c r="AX715" s="38"/>
      <c r="AY715" s="38"/>
      <c r="AZ715" s="6"/>
      <c r="BA715" s="38" t="s">
        <v>63</v>
      </c>
      <c r="BB715" s="6"/>
      <c r="BC715" s="6"/>
      <c r="BD715" s="6"/>
      <c r="BE715" s="6"/>
      <c r="BF715" s="6"/>
      <c r="BG715" s="6"/>
      <c r="BH715" s="6"/>
      <c r="BI715" s="6"/>
      <c r="BJ715" s="6"/>
      <c r="BK715" s="6"/>
    </row>
    <row r="716" spans="1:63" s="19" customFormat="1" ht="23.25" x14ac:dyDescent="0.25">
      <c r="A716" s="39" t="s">
        <v>689</v>
      </c>
      <c r="B716" s="97" t="s">
        <v>242</v>
      </c>
      <c r="C716" s="103" t="s">
        <v>243</v>
      </c>
      <c r="D716" s="103"/>
      <c r="E716" s="103"/>
      <c r="F716" s="103"/>
      <c r="G716" s="103"/>
      <c r="H716" s="41" t="s">
        <v>244</v>
      </c>
      <c r="I716" s="42">
        <v>1.996</v>
      </c>
      <c r="J716" s="43">
        <v>1</v>
      </c>
      <c r="K716" s="66">
        <v>1.996</v>
      </c>
      <c r="L716" s="61">
        <v>324.68</v>
      </c>
      <c r="M716" s="62">
        <v>1.01</v>
      </c>
      <c r="N716" s="61">
        <v>327.93</v>
      </c>
      <c r="O716" s="42"/>
      <c r="P716" s="50">
        <v>752.73249999999985</v>
      </c>
      <c r="Q716"/>
      <c r="R716"/>
      <c r="S716"/>
      <c r="T716">
        <f>T1812</f>
        <v>0</v>
      </c>
      <c r="U716" s="63">
        <f>U717</f>
        <v>654.54999999999995</v>
      </c>
      <c r="V716"/>
      <c r="W716" s="66">
        <v>1.996</v>
      </c>
      <c r="X716"/>
      <c r="Y716"/>
      <c r="Z716"/>
      <c r="AA71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38"/>
      <c r="AW716" s="38"/>
      <c r="AX716" s="38" t="s">
        <v>243</v>
      </c>
      <c r="AY716" s="38"/>
      <c r="AZ716" s="6"/>
      <c r="BA716" s="38"/>
      <c r="BB716" s="6"/>
      <c r="BC716" s="6"/>
      <c r="BD716" s="6"/>
      <c r="BE716" s="6"/>
      <c r="BF716" s="6"/>
      <c r="BG716" s="6"/>
      <c r="BH716" s="6"/>
      <c r="BI716" s="6"/>
      <c r="BJ716" s="6"/>
      <c r="BK716" s="6"/>
    </row>
    <row r="717" spans="1:63" s="19" customFormat="1" ht="15" x14ac:dyDescent="0.25">
      <c r="A717" s="59"/>
      <c r="B717" s="98"/>
      <c r="C717" s="102" t="s">
        <v>63</v>
      </c>
      <c r="D717" s="102"/>
      <c r="E717" s="102"/>
      <c r="F717" s="102"/>
      <c r="G717" s="102"/>
      <c r="H717" s="41"/>
      <c r="I717" s="42"/>
      <c r="J717" s="42"/>
      <c r="K717" s="42"/>
      <c r="L717" s="45"/>
      <c r="M717" s="42"/>
      <c r="N717" s="45"/>
      <c r="O717" s="42"/>
      <c r="P717" s="50">
        <v>752.73249999999985</v>
      </c>
      <c r="Q717"/>
      <c r="R717"/>
      <c r="S717"/>
      <c r="T717">
        <f>T1812</f>
        <v>0</v>
      </c>
      <c r="U717" s="63">
        <f>654.55*(K716/W716)</f>
        <v>654.54999999999995</v>
      </c>
      <c r="V717"/>
      <c r="W717" s="42"/>
      <c r="X717"/>
      <c r="Y717"/>
      <c r="Z717"/>
      <c r="AA717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38"/>
      <c r="AW717" s="38"/>
      <c r="AX717" s="38"/>
      <c r="AY717" s="38"/>
      <c r="AZ717" s="6"/>
      <c r="BA717" s="38" t="s">
        <v>63</v>
      </c>
      <c r="BB717" s="6"/>
      <c r="BC717" s="6"/>
      <c r="BD717" s="6"/>
      <c r="BE717" s="6"/>
      <c r="BF717" s="6"/>
      <c r="BG717" s="6"/>
      <c r="BH717" s="6"/>
      <c r="BI717" s="6"/>
      <c r="BJ717" s="6"/>
      <c r="BK717" s="6"/>
    </row>
    <row r="718" spans="1:63" s="19" customFormat="1" ht="23.25" x14ac:dyDescent="0.25">
      <c r="A718" s="39" t="s">
        <v>690</v>
      </c>
      <c r="B718" s="97" t="s">
        <v>246</v>
      </c>
      <c r="C718" s="103" t="s">
        <v>247</v>
      </c>
      <c r="D718" s="103"/>
      <c r="E718" s="103"/>
      <c r="F718" s="103"/>
      <c r="G718" s="103"/>
      <c r="H718" s="41" t="s">
        <v>83</v>
      </c>
      <c r="I718" s="42">
        <v>1</v>
      </c>
      <c r="J718" s="43">
        <v>1</v>
      </c>
      <c r="K718" s="43">
        <v>1</v>
      </c>
      <c r="L718" s="61">
        <v>111.78</v>
      </c>
      <c r="M718" s="62">
        <v>1.01</v>
      </c>
      <c r="N718" s="61">
        <v>112.9</v>
      </c>
      <c r="O718" s="42"/>
      <c r="P718" s="50">
        <v>129.83500000000001</v>
      </c>
      <c r="Q718"/>
      <c r="R718"/>
      <c r="S718"/>
      <c r="T718">
        <f>T1812</f>
        <v>0</v>
      </c>
      <c r="U718" s="63">
        <f>U719</f>
        <v>112.9</v>
      </c>
      <c r="V718"/>
      <c r="W718" s="43">
        <v>1</v>
      </c>
      <c r="X718"/>
      <c r="Y718"/>
      <c r="Z718"/>
      <c r="AA718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38"/>
      <c r="AW718" s="38"/>
      <c r="AX718" s="38" t="s">
        <v>247</v>
      </c>
      <c r="AY718" s="38"/>
      <c r="AZ718" s="6"/>
      <c r="BA718" s="38"/>
      <c r="BB718" s="6"/>
      <c r="BC718" s="6"/>
      <c r="BD718" s="6"/>
      <c r="BE718" s="6"/>
      <c r="BF718" s="6"/>
      <c r="BG718" s="6"/>
      <c r="BH718" s="6"/>
      <c r="BI718" s="6"/>
      <c r="BJ718" s="6"/>
      <c r="BK718" s="6"/>
    </row>
    <row r="719" spans="1:63" s="19" customFormat="1" ht="15" x14ac:dyDescent="0.25">
      <c r="A719" s="59"/>
      <c r="B719" s="98"/>
      <c r="C719" s="102" t="s">
        <v>63</v>
      </c>
      <c r="D719" s="102"/>
      <c r="E719" s="102"/>
      <c r="F719" s="102"/>
      <c r="G719" s="102"/>
      <c r="H719" s="41"/>
      <c r="I719" s="42"/>
      <c r="J719" s="42"/>
      <c r="K719" s="42"/>
      <c r="L719" s="45"/>
      <c r="M719" s="42"/>
      <c r="N719" s="45"/>
      <c r="O719" s="42"/>
      <c r="P719" s="50">
        <v>129.83500000000001</v>
      </c>
      <c r="Q719"/>
      <c r="R719"/>
      <c r="S719"/>
      <c r="T719">
        <f>T1812</f>
        <v>0</v>
      </c>
      <c r="U719" s="63">
        <f>112.9*(K718/W718)</f>
        <v>112.9</v>
      </c>
      <c r="V719"/>
      <c r="W719" s="42"/>
      <c r="X719"/>
      <c r="Y719"/>
      <c r="Z719"/>
      <c r="AA719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38"/>
      <c r="AW719" s="38"/>
      <c r="AX719" s="38"/>
      <c r="AY719" s="38"/>
      <c r="AZ719" s="6"/>
      <c r="BA719" s="38" t="s">
        <v>63</v>
      </c>
      <c r="BB719" s="6"/>
      <c r="BC719" s="6"/>
      <c r="BD719" s="6"/>
      <c r="BE719" s="6"/>
      <c r="BF719" s="6"/>
      <c r="BG719" s="6"/>
      <c r="BH719" s="6"/>
      <c r="BI719" s="6"/>
      <c r="BJ719" s="6"/>
      <c r="BK719" s="6"/>
    </row>
    <row r="720" spans="1:63" s="19" customFormat="1" ht="23.25" x14ac:dyDescent="0.25">
      <c r="A720" s="39" t="s">
        <v>661</v>
      </c>
      <c r="B720" s="97" t="s">
        <v>249</v>
      </c>
      <c r="C720" s="103" t="s">
        <v>250</v>
      </c>
      <c r="D720" s="103"/>
      <c r="E720" s="103"/>
      <c r="F720" s="103"/>
      <c r="G720" s="103"/>
      <c r="H720" s="41" t="s">
        <v>83</v>
      </c>
      <c r="I720" s="42">
        <v>1</v>
      </c>
      <c r="J720" s="43">
        <v>1</v>
      </c>
      <c r="K720" s="43">
        <v>1</v>
      </c>
      <c r="L720" s="61">
        <v>69.52</v>
      </c>
      <c r="M720" s="62">
        <v>1.01</v>
      </c>
      <c r="N720" s="61">
        <v>70.22</v>
      </c>
      <c r="O720" s="42"/>
      <c r="P720" s="50">
        <v>80.752999999999986</v>
      </c>
      <c r="Q720"/>
      <c r="R720"/>
      <c r="S720"/>
      <c r="T720">
        <f>T1812</f>
        <v>0</v>
      </c>
      <c r="U720" s="63">
        <f>U721</f>
        <v>70.22</v>
      </c>
      <c r="V720"/>
      <c r="W720" s="43">
        <v>1</v>
      </c>
      <c r="X720"/>
      <c r="Y720"/>
      <c r="Z720"/>
      <c r="AA720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38"/>
      <c r="AW720" s="38"/>
      <c r="AX720" s="38" t="s">
        <v>250</v>
      </c>
      <c r="AY720" s="38"/>
      <c r="AZ720" s="6"/>
      <c r="BA720" s="38"/>
      <c r="BB720" s="6"/>
      <c r="BC720" s="6"/>
      <c r="BD720" s="6"/>
      <c r="BE720" s="6"/>
      <c r="BF720" s="6"/>
      <c r="BG720" s="6"/>
      <c r="BH720" s="6"/>
      <c r="BI720" s="6"/>
      <c r="BJ720" s="6"/>
      <c r="BK720" s="6"/>
    </row>
    <row r="721" spans="1:63" s="19" customFormat="1" ht="15" x14ac:dyDescent="0.25">
      <c r="A721" s="59"/>
      <c r="B721" s="98"/>
      <c r="C721" s="102" t="s">
        <v>63</v>
      </c>
      <c r="D721" s="102"/>
      <c r="E721" s="102"/>
      <c r="F721" s="102"/>
      <c r="G721" s="102"/>
      <c r="H721" s="41"/>
      <c r="I721" s="42"/>
      <c r="J721" s="42"/>
      <c r="K721" s="42"/>
      <c r="L721" s="45"/>
      <c r="M721" s="42"/>
      <c r="N721" s="45"/>
      <c r="O721" s="42"/>
      <c r="P721" s="50">
        <v>80.752999999999986</v>
      </c>
      <c r="Q721"/>
      <c r="R721"/>
      <c r="S721"/>
      <c r="T721">
        <f>T1812</f>
        <v>0</v>
      </c>
      <c r="U721" s="63">
        <f>70.22*(K720/W720)</f>
        <v>70.22</v>
      </c>
      <c r="V721"/>
      <c r="W721" s="42"/>
      <c r="X721"/>
      <c r="Y721"/>
      <c r="Z721"/>
      <c r="AA721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38"/>
      <c r="AW721" s="38"/>
      <c r="AX721" s="38"/>
      <c r="AY721" s="38"/>
      <c r="AZ721" s="6"/>
      <c r="BA721" s="38" t="s">
        <v>63</v>
      </c>
      <c r="BB721" s="6"/>
      <c r="BC721" s="6"/>
      <c r="BD721" s="6"/>
      <c r="BE721" s="6"/>
      <c r="BF721" s="6"/>
      <c r="BG721" s="6"/>
      <c r="BH721" s="6"/>
      <c r="BI721" s="6"/>
      <c r="BJ721" s="6"/>
      <c r="BK721" s="6"/>
    </row>
    <row r="722" spans="1:63" s="19" customFormat="1" ht="23.25" x14ac:dyDescent="0.25">
      <c r="A722" s="39" t="s">
        <v>691</v>
      </c>
      <c r="B722" s="97" t="s">
        <v>252</v>
      </c>
      <c r="C722" s="103" t="s">
        <v>253</v>
      </c>
      <c r="D722" s="103"/>
      <c r="E722" s="103"/>
      <c r="F722" s="103"/>
      <c r="G722" s="103"/>
      <c r="H722" s="41" t="s">
        <v>125</v>
      </c>
      <c r="I722" s="42">
        <v>0.01</v>
      </c>
      <c r="J722" s="43">
        <v>1</v>
      </c>
      <c r="K722" s="62">
        <v>0.01</v>
      </c>
      <c r="L722" s="45"/>
      <c r="M722" s="42"/>
      <c r="N722" s="45"/>
      <c r="O722" s="42"/>
      <c r="P722" s="50">
        <v>0</v>
      </c>
      <c r="Q722"/>
      <c r="R722"/>
      <c r="S722"/>
      <c r="T722"/>
      <c r="U722" s="46"/>
      <c r="V722"/>
      <c r="W722" s="62">
        <v>0.01</v>
      </c>
      <c r="X722"/>
      <c r="Y722"/>
      <c r="Z722"/>
      <c r="AA722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38"/>
      <c r="AW722" s="38"/>
      <c r="AX722" s="38" t="s">
        <v>253</v>
      </c>
      <c r="AY722" s="38"/>
      <c r="AZ722" s="6"/>
      <c r="BA722" s="38"/>
      <c r="BB722" s="6"/>
      <c r="BC722" s="6"/>
      <c r="BD722" s="6"/>
      <c r="BE722" s="6"/>
      <c r="BF722" s="6"/>
      <c r="BG722" s="6"/>
      <c r="BH722" s="6"/>
      <c r="BI722" s="6"/>
      <c r="BJ722" s="6"/>
      <c r="BK722" s="6"/>
    </row>
    <row r="723" spans="1:63" s="19" customFormat="1" ht="15" x14ac:dyDescent="0.25">
      <c r="A723" s="47"/>
      <c r="B723" s="48"/>
      <c r="C723" s="102" t="s">
        <v>56</v>
      </c>
      <c r="D723" s="102"/>
      <c r="E723" s="102"/>
      <c r="F723" s="102"/>
      <c r="G723" s="102"/>
      <c r="H723" s="41"/>
      <c r="I723" s="42"/>
      <c r="J723" s="42"/>
      <c r="K723" s="42"/>
      <c r="L723" s="45"/>
      <c r="M723" s="42"/>
      <c r="N723" s="49"/>
      <c r="O723" s="42"/>
      <c r="P723" s="50">
        <v>288.6155</v>
      </c>
      <c r="Q723" s="51"/>
      <c r="R723" s="51"/>
      <c r="S723"/>
      <c r="T723">
        <f>T1812</f>
        <v>0</v>
      </c>
      <c r="U723" s="50">
        <v>250.97</v>
      </c>
      <c r="V723"/>
      <c r="W723" s="42"/>
      <c r="X723"/>
      <c r="Y723"/>
      <c r="Z723"/>
      <c r="AA723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38"/>
      <c r="AW723" s="38"/>
      <c r="AX723" s="38"/>
      <c r="AY723" s="38" t="s">
        <v>56</v>
      </c>
      <c r="AZ723" s="6"/>
      <c r="BA723" s="38"/>
      <c r="BB723" s="6"/>
      <c r="BC723" s="6"/>
      <c r="BD723" s="6"/>
      <c r="BE723" s="6"/>
      <c r="BF723" s="6"/>
      <c r="BG723" s="6"/>
      <c r="BH723" s="6"/>
      <c r="BI723" s="6"/>
      <c r="BJ723" s="6"/>
      <c r="BK723" s="6"/>
    </row>
    <row r="724" spans="1:63" s="19" customFormat="1" ht="15" x14ac:dyDescent="0.25">
      <c r="A724" s="52"/>
      <c r="B724" s="53"/>
      <c r="C724" s="104" t="s">
        <v>57</v>
      </c>
      <c r="D724" s="104"/>
      <c r="E724" s="104"/>
      <c r="F724" s="104"/>
      <c r="G724" s="104"/>
      <c r="H724" s="54"/>
      <c r="I724" s="55"/>
      <c r="J724" s="55"/>
      <c r="K724" s="55"/>
      <c r="L724" s="56"/>
      <c r="M724" s="55"/>
      <c r="N724" s="56"/>
      <c r="O724" s="55"/>
      <c r="P724" s="77">
        <v>286.45349999999996</v>
      </c>
      <c r="Q724"/>
      <c r="R724"/>
      <c r="S724"/>
      <c r="T724">
        <f>T1812</f>
        <v>0</v>
      </c>
      <c r="U724" s="65">
        <v>249.09</v>
      </c>
      <c r="V724"/>
      <c r="W724" s="55"/>
      <c r="X724"/>
      <c r="Y724"/>
      <c r="Z724"/>
      <c r="AA724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38"/>
      <c r="AW724" s="38"/>
      <c r="AX724" s="38"/>
      <c r="AY724" s="38"/>
      <c r="AZ724" s="6" t="s">
        <v>57</v>
      </c>
      <c r="BA724" s="38"/>
      <c r="BB724" s="6"/>
      <c r="BC724" s="6"/>
      <c r="BD724" s="6"/>
      <c r="BE724" s="6"/>
      <c r="BF724" s="6"/>
      <c r="BG724" s="6"/>
      <c r="BH724" s="6"/>
      <c r="BI724" s="6"/>
      <c r="BJ724" s="6"/>
      <c r="BK724" s="6"/>
    </row>
    <row r="725" spans="1:63" s="19" customFormat="1" ht="34.5" x14ac:dyDescent="0.25">
      <c r="A725" s="52"/>
      <c r="B725" s="53" t="s">
        <v>215</v>
      </c>
      <c r="C725" s="104" t="s">
        <v>216</v>
      </c>
      <c r="D725" s="104"/>
      <c r="E725" s="104"/>
      <c r="F725" s="104"/>
      <c r="G725" s="104"/>
      <c r="H725" s="54" t="s">
        <v>60</v>
      </c>
      <c r="I725" s="58">
        <v>121</v>
      </c>
      <c r="J725" s="55"/>
      <c r="K725" s="58">
        <v>121</v>
      </c>
      <c r="L725" s="56"/>
      <c r="M725" s="55"/>
      <c r="N725" s="56"/>
      <c r="O725" s="55"/>
      <c r="P725" s="77">
        <v>346.60999999999996</v>
      </c>
      <c r="Q725"/>
      <c r="R725"/>
      <c r="S725"/>
      <c r="T725">
        <f>T1812</f>
        <v>0</v>
      </c>
      <c r="U725" s="65">
        <v>301.39999999999998</v>
      </c>
      <c r="V725"/>
      <c r="W725" s="58">
        <v>121</v>
      </c>
      <c r="X725"/>
      <c r="Y725"/>
      <c r="Z725"/>
      <c r="AA725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38"/>
      <c r="AW725" s="38"/>
      <c r="AX725" s="38"/>
      <c r="AY725" s="38"/>
      <c r="AZ725" s="6" t="s">
        <v>216</v>
      </c>
      <c r="BA725" s="38"/>
      <c r="BB725" s="6"/>
      <c r="BC725" s="6"/>
      <c r="BD725" s="6"/>
      <c r="BE725" s="6"/>
      <c r="BF725" s="6"/>
      <c r="BG725" s="6"/>
      <c r="BH725" s="6"/>
      <c r="BI725" s="6"/>
      <c r="BJ725" s="6"/>
      <c r="BK725" s="6"/>
    </row>
    <row r="726" spans="1:63" s="19" customFormat="1" ht="34.5" x14ac:dyDescent="0.25">
      <c r="A726" s="52"/>
      <c r="B726" s="53" t="s">
        <v>217</v>
      </c>
      <c r="C726" s="104" t="s">
        <v>218</v>
      </c>
      <c r="D726" s="104"/>
      <c r="E726" s="104"/>
      <c r="F726" s="104"/>
      <c r="G726" s="104"/>
      <c r="H726" s="54" t="s">
        <v>60</v>
      </c>
      <c r="I726" s="58">
        <v>72</v>
      </c>
      <c r="J726" s="55"/>
      <c r="K726" s="58">
        <v>72</v>
      </c>
      <c r="L726" s="56"/>
      <c r="M726" s="55"/>
      <c r="N726" s="56"/>
      <c r="O726" s="55"/>
      <c r="P726" s="77">
        <v>206.24099999999999</v>
      </c>
      <c r="Q726"/>
      <c r="R726"/>
      <c r="S726"/>
      <c r="T726">
        <f>T1812</f>
        <v>0</v>
      </c>
      <c r="U726" s="65">
        <v>179.34</v>
      </c>
      <c r="V726"/>
      <c r="W726" s="58">
        <v>72</v>
      </c>
      <c r="X726"/>
      <c r="Y726"/>
      <c r="Z726"/>
      <c r="AA72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38"/>
      <c r="AW726" s="38"/>
      <c r="AX726" s="38"/>
      <c r="AY726" s="38"/>
      <c r="AZ726" s="6" t="s">
        <v>218</v>
      </c>
      <c r="BA726" s="38"/>
      <c r="BB726" s="6"/>
      <c r="BC726" s="6"/>
      <c r="BD726" s="6"/>
      <c r="BE726" s="6"/>
      <c r="BF726" s="6"/>
      <c r="BG726" s="6"/>
      <c r="BH726" s="6"/>
      <c r="BI726" s="6"/>
      <c r="BJ726" s="6"/>
      <c r="BK726" s="6"/>
    </row>
    <row r="727" spans="1:63" s="19" customFormat="1" ht="15" x14ac:dyDescent="0.25">
      <c r="A727" s="59"/>
      <c r="B727" s="98"/>
      <c r="C727" s="102" t="s">
        <v>63</v>
      </c>
      <c r="D727" s="102"/>
      <c r="E727" s="102"/>
      <c r="F727" s="102"/>
      <c r="G727" s="102"/>
      <c r="H727" s="41"/>
      <c r="I727" s="42"/>
      <c r="J727" s="42"/>
      <c r="K727" s="42"/>
      <c r="L727" s="45"/>
      <c r="M727" s="42"/>
      <c r="N727" s="49">
        <v>73171</v>
      </c>
      <c r="O727" s="42"/>
      <c r="P727" s="50">
        <v>841.4665</v>
      </c>
      <c r="Q727"/>
      <c r="R727"/>
      <c r="S727"/>
      <c r="T727">
        <f>T1812</f>
        <v>0</v>
      </c>
      <c r="U727" s="63">
        <f>731.71*(K722/W722)</f>
        <v>731.71</v>
      </c>
      <c r="V727"/>
      <c r="W727" s="42"/>
      <c r="X727"/>
      <c r="Y727"/>
      <c r="Z727"/>
      <c r="AA727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38"/>
      <c r="AW727" s="38"/>
      <c r="AX727" s="38"/>
      <c r="AY727" s="38"/>
      <c r="AZ727" s="6"/>
      <c r="BA727" s="38" t="s">
        <v>63</v>
      </c>
      <c r="BB727" s="6"/>
      <c r="BC727" s="6"/>
      <c r="BD727" s="6"/>
      <c r="BE727" s="6"/>
      <c r="BF727" s="6"/>
      <c r="BG727" s="6"/>
      <c r="BH727" s="6"/>
      <c r="BI727" s="6"/>
      <c r="BJ727" s="6"/>
      <c r="BK727" s="6"/>
    </row>
    <row r="728" spans="1:63" s="19" customFormat="1" ht="23.25" x14ac:dyDescent="0.25">
      <c r="A728" s="39" t="s">
        <v>692</v>
      </c>
      <c r="B728" s="97" t="s">
        <v>255</v>
      </c>
      <c r="C728" s="103" t="s">
        <v>256</v>
      </c>
      <c r="D728" s="103"/>
      <c r="E728" s="103"/>
      <c r="F728" s="103"/>
      <c r="G728" s="103"/>
      <c r="H728" s="41" t="s">
        <v>244</v>
      </c>
      <c r="I728" s="42">
        <v>0.998</v>
      </c>
      <c r="J728" s="43">
        <v>1</v>
      </c>
      <c r="K728" s="66">
        <v>0.998</v>
      </c>
      <c r="L728" s="61">
        <v>134</v>
      </c>
      <c r="M728" s="62">
        <v>1.01</v>
      </c>
      <c r="N728" s="61">
        <v>135.34</v>
      </c>
      <c r="O728" s="42"/>
      <c r="P728" s="50">
        <v>155.33049999999997</v>
      </c>
      <c r="Q728"/>
      <c r="R728"/>
      <c r="S728"/>
      <c r="T728">
        <f>T1812</f>
        <v>0</v>
      </c>
      <c r="U728" s="63">
        <f>U729</f>
        <v>135.07</v>
      </c>
      <c r="V728"/>
      <c r="W728" s="66">
        <v>0.998</v>
      </c>
      <c r="X728"/>
      <c r="Y728"/>
      <c r="Z728"/>
      <c r="AA728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38"/>
      <c r="AW728" s="38"/>
      <c r="AX728" s="38" t="s">
        <v>256</v>
      </c>
      <c r="AY728" s="38"/>
      <c r="AZ728" s="6"/>
      <c r="BA728" s="38"/>
      <c r="BB728" s="6"/>
      <c r="BC728" s="6"/>
      <c r="BD728" s="6"/>
      <c r="BE728" s="6"/>
      <c r="BF728" s="6"/>
      <c r="BG728" s="6"/>
      <c r="BH728" s="6"/>
      <c r="BI728" s="6"/>
      <c r="BJ728" s="6"/>
      <c r="BK728" s="6"/>
    </row>
    <row r="729" spans="1:63" s="19" customFormat="1" ht="15" x14ac:dyDescent="0.25">
      <c r="A729" s="59"/>
      <c r="B729" s="98"/>
      <c r="C729" s="102" t="s">
        <v>63</v>
      </c>
      <c r="D729" s="102"/>
      <c r="E729" s="102"/>
      <c r="F729" s="102"/>
      <c r="G729" s="102"/>
      <c r="H729" s="41"/>
      <c r="I729" s="42"/>
      <c r="J729" s="42"/>
      <c r="K729" s="42"/>
      <c r="L729" s="45"/>
      <c r="M729" s="42"/>
      <c r="N729" s="45"/>
      <c r="O729" s="42"/>
      <c r="P729" s="50">
        <v>155.33049999999997</v>
      </c>
      <c r="Q729"/>
      <c r="R729"/>
      <c r="S729"/>
      <c r="T729">
        <f>T1812</f>
        <v>0</v>
      </c>
      <c r="U729" s="63">
        <f>135.07*(K728/W728)</f>
        <v>135.07</v>
      </c>
      <c r="V729"/>
      <c r="W729" s="42"/>
      <c r="X729"/>
      <c r="Y729"/>
      <c r="Z729"/>
      <c r="AA729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38"/>
      <c r="AW729" s="38"/>
      <c r="AX729" s="38"/>
      <c r="AY729" s="38"/>
      <c r="AZ729" s="6"/>
      <c r="BA729" s="38" t="s">
        <v>63</v>
      </c>
      <c r="BB729" s="6"/>
      <c r="BC729" s="6"/>
      <c r="BD729" s="6"/>
      <c r="BE729" s="6"/>
      <c r="BF729" s="6"/>
      <c r="BG729" s="6"/>
      <c r="BH729" s="6"/>
      <c r="BI729" s="6"/>
      <c r="BJ729" s="6"/>
      <c r="BK729" s="6"/>
    </row>
    <row r="730" spans="1:63" s="19" customFormat="1" ht="23.25" x14ac:dyDescent="0.25">
      <c r="A730" s="39" t="s">
        <v>693</v>
      </c>
      <c r="B730" s="97" t="s">
        <v>258</v>
      </c>
      <c r="C730" s="103" t="s">
        <v>259</v>
      </c>
      <c r="D730" s="103"/>
      <c r="E730" s="103"/>
      <c r="F730" s="103"/>
      <c r="G730" s="103"/>
      <c r="H730" s="41" t="s">
        <v>83</v>
      </c>
      <c r="I730" s="42">
        <v>1</v>
      </c>
      <c r="J730" s="43">
        <v>1</v>
      </c>
      <c r="K730" s="43">
        <v>1</v>
      </c>
      <c r="L730" s="61">
        <v>26.78</v>
      </c>
      <c r="M730" s="62">
        <v>1.01</v>
      </c>
      <c r="N730" s="61">
        <v>27.05</v>
      </c>
      <c r="O730" s="42"/>
      <c r="P730" s="50">
        <v>31.107499999999998</v>
      </c>
      <c r="Q730"/>
      <c r="R730"/>
      <c r="S730"/>
      <c r="T730">
        <f>T1812</f>
        <v>0</v>
      </c>
      <c r="U730" s="63">
        <f>U731</f>
        <v>27.05</v>
      </c>
      <c r="V730"/>
      <c r="W730" s="43">
        <v>1</v>
      </c>
      <c r="X730"/>
      <c r="Y730"/>
      <c r="Z730"/>
      <c r="AA730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38"/>
      <c r="AW730" s="38"/>
      <c r="AX730" s="38" t="s">
        <v>259</v>
      </c>
      <c r="AY730" s="38"/>
      <c r="AZ730" s="6"/>
      <c r="BA730" s="38"/>
      <c r="BB730" s="6"/>
      <c r="BC730" s="6"/>
      <c r="BD730" s="6"/>
      <c r="BE730" s="6"/>
      <c r="BF730" s="6"/>
      <c r="BG730" s="6"/>
      <c r="BH730" s="6"/>
      <c r="BI730" s="6"/>
      <c r="BJ730" s="6"/>
      <c r="BK730" s="6"/>
    </row>
    <row r="731" spans="1:63" s="19" customFormat="1" ht="15" x14ac:dyDescent="0.25">
      <c r="A731" s="59"/>
      <c r="B731" s="98"/>
      <c r="C731" s="102" t="s">
        <v>63</v>
      </c>
      <c r="D731" s="102"/>
      <c r="E731" s="102"/>
      <c r="F731" s="102"/>
      <c r="G731" s="102"/>
      <c r="H731" s="41"/>
      <c r="I731" s="42"/>
      <c r="J731" s="42"/>
      <c r="K731" s="42"/>
      <c r="L731" s="45"/>
      <c r="M731" s="42"/>
      <c r="N731" s="45"/>
      <c r="O731" s="42"/>
      <c r="P731" s="50">
        <v>31.107499999999998</v>
      </c>
      <c r="Q731"/>
      <c r="R731"/>
      <c r="S731"/>
      <c r="T731">
        <f>T1812</f>
        <v>0</v>
      </c>
      <c r="U731" s="63">
        <f>27.05*(K730/W730)</f>
        <v>27.05</v>
      </c>
      <c r="V731"/>
      <c r="W731" s="42"/>
      <c r="X731"/>
      <c r="Y731"/>
      <c r="Z731"/>
      <c r="AA731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38"/>
      <c r="AW731" s="38"/>
      <c r="AX731" s="38"/>
      <c r="AY731" s="38"/>
      <c r="AZ731" s="6"/>
      <c r="BA731" s="38" t="s">
        <v>63</v>
      </c>
      <c r="BB731" s="6"/>
      <c r="BC731" s="6"/>
      <c r="BD731" s="6"/>
      <c r="BE731" s="6"/>
      <c r="BF731" s="6"/>
      <c r="BG731" s="6"/>
      <c r="BH731" s="6"/>
      <c r="BI731" s="6"/>
      <c r="BJ731" s="6"/>
      <c r="BK731" s="6"/>
    </row>
    <row r="732" spans="1:63" s="19" customFormat="1" ht="33.75" x14ac:dyDescent="0.25">
      <c r="A732" s="39" t="s">
        <v>694</v>
      </c>
      <c r="B732" s="97" t="s">
        <v>261</v>
      </c>
      <c r="C732" s="103" t="s">
        <v>262</v>
      </c>
      <c r="D732" s="103"/>
      <c r="E732" s="103"/>
      <c r="F732" s="103"/>
      <c r="G732" s="103"/>
      <c r="H732" s="41" t="s">
        <v>263</v>
      </c>
      <c r="I732" s="42">
        <v>0.14000000000000001</v>
      </c>
      <c r="J732" s="43">
        <v>1</v>
      </c>
      <c r="K732" s="62">
        <v>0.14000000000000001</v>
      </c>
      <c r="L732" s="45"/>
      <c r="M732" s="42"/>
      <c r="N732" s="45"/>
      <c r="O732" s="42"/>
      <c r="P732" s="50"/>
      <c r="Q732"/>
      <c r="R732"/>
      <c r="S732"/>
      <c r="T732"/>
      <c r="U732" s="46"/>
      <c r="V732"/>
      <c r="W732" s="62">
        <v>0.14000000000000001</v>
      </c>
      <c r="X732"/>
      <c r="Y732"/>
      <c r="Z732"/>
      <c r="AA732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38"/>
      <c r="AW732" s="38"/>
      <c r="AX732" s="38" t="s">
        <v>262</v>
      </c>
      <c r="AY732" s="38"/>
      <c r="AZ732" s="6"/>
      <c r="BA732" s="38"/>
      <c r="BB732" s="6"/>
      <c r="BC732" s="6"/>
      <c r="BD732" s="6"/>
      <c r="BE732" s="6"/>
      <c r="BF732" s="6"/>
      <c r="BG732" s="6"/>
      <c r="BH732" s="6"/>
      <c r="BI732" s="6"/>
      <c r="BJ732" s="6"/>
      <c r="BK732" s="6"/>
    </row>
    <row r="733" spans="1:63" s="19" customFormat="1" ht="15" x14ac:dyDescent="0.25">
      <c r="A733" s="47"/>
      <c r="B733" s="48"/>
      <c r="C733" s="102" t="s">
        <v>56</v>
      </c>
      <c r="D733" s="102"/>
      <c r="E733" s="102"/>
      <c r="F733" s="102"/>
      <c r="G733" s="102"/>
      <c r="H733" s="41"/>
      <c r="I733" s="42"/>
      <c r="J733" s="42"/>
      <c r="K733" s="42"/>
      <c r="L733" s="45"/>
      <c r="M733" s="42"/>
      <c r="N733" s="49"/>
      <c r="O733" s="42"/>
      <c r="P733" s="50">
        <v>147.51050000000001</v>
      </c>
      <c r="Q733" s="51"/>
      <c r="R733" s="51"/>
      <c r="S733"/>
      <c r="T733">
        <f>T1812</f>
        <v>0</v>
      </c>
      <c r="U733" s="50">
        <v>128.27000000000001</v>
      </c>
      <c r="V733"/>
      <c r="W733" s="42"/>
      <c r="X733"/>
      <c r="Y733"/>
      <c r="Z733"/>
      <c r="AA733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38"/>
      <c r="AW733" s="38"/>
      <c r="AX733" s="38"/>
      <c r="AY733" s="38" t="s">
        <v>56</v>
      </c>
      <c r="AZ733" s="6"/>
      <c r="BA733" s="38"/>
      <c r="BB733" s="6"/>
      <c r="BC733" s="6"/>
      <c r="BD733" s="6"/>
      <c r="BE733" s="6"/>
      <c r="BF733" s="6"/>
      <c r="BG733" s="6"/>
      <c r="BH733" s="6"/>
      <c r="BI733" s="6"/>
      <c r="BJ733" s="6"/>
      <c r="BK733" s="6"/>
    </row>
    <row r="734" spans="1:63" s="19" customFormat="1" ht="15" x14ac:dyDescent="0.25">
      <c r="A734" s="52"/>
      <c r="B734" s="53"/>
      <c r="C734" s="104" t="s">
        <v>57</v>
      </c>
      <c r="D734" s="104"/>
      <c r="E734" s="104"/>
      <c r="F734" s="104"/>
      <c r="G734" s="104"/>
      <c r="H734" s="54"/>
      <c r="I734" s="55"/>
      <c r="J734" s="55"/>
      <c r="K734" s="55"/>
      <c r="L734" s="56"/>
      <c r="M734" s="55"/>
      <c r="N734" s="56"/>
      <c r="O734" s="55"/>
      <c r="P734" s="77">
        <v>147.51050000000001</v>
      </c>
      <c r="Q734"/>
      <c r="R734"/>
      <c r="S734"/>
      <c r="T734">
        <f>T1812</f>
        <v>0</v>
      </c>
      <c r="U734" s="65">
        <v>128.27000000000001</v>
      </c>
      <c r="V734"/>
      <c r="W734" s="55"/>
      <c r="X734"/>
      <c r="Y734"/>
      <c r="Z734"/>
      <c r="AA734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38"/>
      <c r="AW734" s="38"/>
      <c r="AX734" s="38"/>
      <c r="AY734" s="38"/>
      <c r="AZ734" s="6" t="s">
        <v>57</v>
      </c>
      <c r="BA734" s="38"/>
      <c r="BB734" s="6"/>
      <c r="BC734" s="6"/>
      <c r="BD734" s="6"/>
      <c r="BE734" s="6"/>
      <c r="BF734" s="6"/>
      <c r="BG734" s="6"/>
      <c r="BH734" s="6"/>
      <c r="BI734" s="6"/>
      <c r="BJ734" s="6"/>
      <c r="BK734" s="6"/>
    </row>
    <row r="735" spans="1:63" s="19" customFormat="1" ht="34.5" x14ac:dyDescent="0.25">
      <c r="A735" s="52"/>
      <c r="B735" s="53" t="s">
        <v>215</v>
      </c>
      <c r="C735" s="104" t="s">
        <v>216</v>
      </c>
      <c r="D735" s="104"/>
      <c r="E735" s="104"/>
      <c r="F735" s="104"/>
      <c r="G735" s="104"/>
      <c r="H735" s="54" t="s">
        <v>60</v>
      </c>
      <c r="I735" s="58">
        <v>121</v>
      </c>
      <c r="J735" s="55"/>
      <c r="K735" s="58">
        <v>121</v>
      </c>
      <c r="L735" s="56"/>
      <c r="M735" s="55"/>
      <c r="N735" s="56"/>
      <c r="O735" s="55"/>
      <c r="P735" s="77">
        <v>178.4915</v>
      </c>
      <c r="Q735"/>
      <c r="R735"/>
      <c r="S735"/>
      <c r="T735">
        <f>T1812</f>
        <v>0</v>
      </c>
      <c r="U735" s="65">
        <v>155.21</v>
      </c>
      <c r="V735"/>
      <c r="W735" s="58">
        <v>121</v>
      </c>
      <c r="X735"/>
      <c r="Y735"/>
      <c r="Z735"/>
      <c r="AA735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38"/>
      <c r="AW735" s="38"/>
      <c r="AX735" s="38"/>
      <c r="AY735" s="38"/>
      <c r="AZ735" s="6" t="s">
        <v>216</v>
      </c>
      <c r="BA735" s="38"/>
      <c r="BB735" s="6"/>
      <c r="BC735" s="6"/>
      <c r="BD735" s="6"/>
      <c r="BE735" s="6"/>
      <c r="BF735" s="6"/>
      <c r="BG735" s="6"/>
      <c r="BH735" s="6"/>
      <c r="BI735" s="6"/>
      <c r="BJ735" s="6"/>
      <c r="BK735" s="6"/>
    </row>
    <row r="736" spans="1:63" s="19" customFormat="1" ht="34.5" x14ac:dyDescent="0.25">
      <c r="A736" s="52"/>
      <c r="B736" s="53" t="s">
        <v>217</v>
      </c>
      <c r="C736" s="104" t="s">
        <v>218</v>
      </c>
      <c r="D736" s="104"/>
      <c r="E736" s="104"/>
      <c r="F736" s="104"/>
      <c r="G736" s="104"/>
      <c r="H736" s="54" t="s">
        <v>60</v>
      </c>
      <c r="I736" s="58">
        <v>72</v>
      </c>
      <c r="J736" s="55"/>
      <c r="K736" s="58">
        <v>72</v>
      </c>
      <c r="L736" s="56"/>
      <c r="M736" s="55"/>
      <c r="N736" s="56"/>
      <c r="O736" s="55"/>
      <c r="P736" s="77">
        <v>106.20249999999999</v>
      </c>
      <c r="Q736"/>
      <c r="R736"/>
      <c r="S736"/>
      <c r="T736">
        <f>T1812</f>
        <v>0</v>
      </c>
      <c r="U736" s="65">
        <v>92.35</v>
      </c>
      <c r="V736"/>
      <c r="W736" s="58">
        <v>72</v>
      </c>
      <c r="X736"/>
      <c r="Y736"/>
      <c r="Z736"/>
      <c r="AA73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38"/>
      <c r="AW736" s="38"/>
      <c r="AX736" s="38"/>
      <c r="AY736" s="38"/>
      <c r="AZ736" s="6" t="s">
        <v>218</v>
      </c>
      <c r="BA736" s="38"/>
      <c r="BB736" s="6"/>
      <c r="BC736" s="6"/>
      <c r="BD736" s="6"/>
      <c r="BE736" s="6"/>
      <c r="BF736" s="6"/>
      <c r="BG736" s="6"/>
      <c r="BH736" s="6"/>
      <c r="BI736" s="6"/>
      <c r="BJ736" s="6"/>
      <c r="BK736" s="6"/>
    </row>
    <row r="737" spans="1:63" s="19" customFormat="1" ht="15" x14ac:dyDescent="0.25">
      <c r="A737" s="59"/>
      <c r="B737" s="98"/>
      <c r="C737" s="102" t="s">
        <v>63</v>
      </c>
      <c r="D737" s="102"/>
      <c r="E737" s="102"/>
      <c r="F737" s="102"/>
      <c r="G737" s="102"/>
      <c r="H737" s="41"/>
      <c r="I737" s="42"/>
      <c r="J737" s="42"/>
      <c r="K737" s="42"/>
      <c r="L737" s="45"/>
      <c r="M737" s="42"/>
      <c r="N737" s="49">
        <v>2684.5</v>
      </c>
      <c r="O737" s="42"/>
      <c r="P737" s="50">
        <v>432.20449999999994</v>
      </c>
      <c r="Q737"/>
      <c r="R737"/>
      <c r="S737"/>
      <c r="T737">
        <f>T1812</f>
        <v>0</v>
      </c>
      <c r="U737" s="63">
        <f>375.83*(K732/W732)</f>
        <v>375.83</v>
      </c>
      <c r="V737"/>
      <c r="W737" s="42"/>
      <c r="X737"/>
      <c r="Y737"/>
      <c r="Z737"/>
      <c r="AA737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38"/>
      <c r="AW737" s="38"/>
      <c r="AX737" s="38"/>
      <c r="AY737" s="38"/>
      <c r="AZ737" s="6"/>
      <c r="BA737" s="38" t="s">
        <v>63</v>
      </c>
      <c r="BB737" s="6"/>
      <c r="BC737" s="6"/>
      <c r="BD737" s="6"/>
      <c r="BE737" s="6"/>
      <c r="BF737" s="6"/>
      <c r="BG737" s="6"/>
      <c r="BH737" s="6"/>
      <c r="BI737" s="6"/>
      <c r="BJ737" s="6"/>
      <c r="BK737" s="6"/>
    </row>
    <row r="738" spans="1:63" s="19" customFormat="1" ht="34.5" x14ac:dyDescent="0.25">
      <c r="A738" s="39" t="s">
        <v>695</v>
      </c>
      <c r="B738" s="97" t="s">
        <v>265</v>
      </c>
      <c r="C738" s="103" t="s">
        <v>266</v>
      </c>
      <c r="D738" s="103"/>
      <c r="E738" s="103"/>
      <c r="F738" s="103"/>
      <c r="G738" s="103"/>
      <c r="H738" s="41" t="s">
        <v>125</v>
      </c>
      <c r="I738" s="42">
        <v>0.05</v>
      </c>
      <c r="J738" s="43">
        <v>1</v>
      </c>
      <c r="K738" s="62">
        <v>0.05</v>
      </c>
      <c r="L738" s="45"/>
      <c r="M738" s="42"/>
      <c r="N738" s="45"/>
      <c r="O738" s="42"/>
      <c r="P738" s="50"/>
      <c r="Q738"/>
      <c r="R738"/>
      <c r="S738"/>
      <c r="T738"/>
      <c r="U738" s="46"/>
      <c r="V738"/>
      <c r="W738" s="62">
        <v>0.05</v>
      </c>
      <c r="X738"/>
      <c r="Y738"/>
      <c r="Z738"/>
      <c r="AA738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38"/>
      <c r="AW738" s="38"/>
      <c r="AX738" s="38" t="s">
        <v>266</v>
      </c>
      <c r="AY738" s="38"/>
      <c r="AZ738" s="6"/>
      <c r="BA738" s="38"/>
      <c r="BB738" s="6"/>
      <c r="BC738" s="6"/>
      <c r="BD738" s="6"/>
      <c r="BE738" s="6"/>
      <c r="BF738" s="6"/>
      <c r="BG738" s="6"/>
      <c r="BH738" s="6"/>
      <c r="BI738" s="6"/>
      <c r="BJ738" s="6"/>
      <c r="BK738" s="6"/>
    </row>
    <row r="739" spans="1:63" s="19" customFormat="1" ht="15" x14ac:dyDescent="0.25">
      <c r="A739" s="47"/>
      <c r="B739" s="48"/>
      <c r="C739" s="102" t="s">
        <v>56</v>
      </c>
      <c r="D739" s="102"/>
      <c r="E739" s="102"/>
      <c r="F739" s="102"/>
      <c r="G739" s="102"/>
      <c r="H739" s="41"/>
      <c r="I739" s="42"/>
      <c r="J739" s="42"/>
      <c r="K739" s="42"/>
      <c r="L739" s="45"/>
      <c r="M739" s="42"/>
      <c r="N739" s="49"/>
      <c r="O739" s="42"/>
      <c r="P739" s="50">
        <v>345.01149999999996</v>
      </c>
      <c r="Q739" s="51"/>
      <c r="R739" s="51"/>
      <c r="S739"/>
      <c r="T739">
        <f>T1812</f>
        <v>0</v>
      </c>
      <c r="U739" s="50">
        <v>300.01</v>
      </c>
      <c r="V739"/>
      <c r="W739" s="42"/>
      <c r="X739"/>
      <c r="Y739"/>
      <c r="Z739"/>
      <c r="AA739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38"/>
      <c r="AW739" s="38"/>
      <c r="AX739" s="38"/>
      <c r="AY739" s="38" t="s">
        <v>56</v>
      </c>
      <c r="AZ739" s="6"/>
      <c r="BA739" s="38"/>
      <c r="BB739" s="6"/>
      <c r="BC739" s="6"/>
      <c r="BD739" s="6"/>
      <c r="BE739" s="6"/>
      <c r="BF739" s="6"/>
      <c r="BG739" s="6"/>
      <c r="BH739" s="6"/>
      <c r="BI739" s="6"/>
      <c r="BJ739" s="6"/>
      <c r="BK739" s="6"/>
    </row>
    <row r="740" spans="1:63" s="19" customFormat="1" ht="15" x14ac:dyDescent="0.25">
      <c r="A740" s="52"/>
      <c r="B740" s="53"/>
      <c r="C740" s="104" t="s">
        <v>57</v>
      </c>
      <c r="D740" s="104"/>
      <c r="E740" s="104"/>
      <c r="F740" s="104"/>
      <c r="G740" s="104"/>
      <c r="H740" s="54"/>
      <c r="I740" s="55"/>
      <c r="J740" s="55"/>
      <c r="K740" s="55"/>
      <c r="L740" s="56"/>
      <c r="M740" s="55"/>
      <c r="N740" s="56"/>
      <c r="O740" s="55"/>
      <c r="P740" s="77">
        <v>307.6825</v>
      </c>
      <c r="Q740"/>
      <c r="R740"/>
      <c r="S740"/>
      <c r="T740">
        <f>T1812</f>
        <v>0</v>
      </c>
      <c r="U740" s="65">
        <v>267.55</v>
      </c>
      <c r="V740"/>
      <c r="W740" s="55"/>
      <c r="X740"/>
      <c r="Y740"/>
      <c r="Z740"/>
      <c r="AA740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38"/>
      <c r="AW740" s="38"/>
      <c r="AX740" s="38"/>
      <c r="AY740" s="38"/>
      <c r="AZ740" s="6" t="s">
        <v>57</v>
      </c>
      <c r="BA740" s="38"/>
      <c r="BB740" s="6"/>
      <c r="BC740" s="6"/>
      <c r="BD740" s="6"/>
      <c r="BE740" s="6"/>
      <c r="BF740" s="6"/>
      <c r="BG740" s="6"/>
      <c r="BH740" s="6"/>
      <c r="BI740" s="6"/>
      <c r="BJ740" s="6"/>
      <c r="BK740" s="6"/>
    </row>
    <row r="741" spans="1:63" s="19" customFormat="1" ht="34.5" x14ac:dyDescent="0.25">
      <c r="A741" s="52"/>
      <c r="B741" s="53" t="s">
        <v>215</v>
      </c>
      <c r="C741" s="104" t="s">
        <v>216</v>
      </c>
      <c r="D741" s="104"/>
      <c r="E741" s="104"/>
      <c r="F741" s="104"/>
      <c r="G741" s="104"/>
      <c r="H741" s="54" t="s">
        <v>60</v>
      </c>
      <c r="I741" s="58">
        <v>121</v>
      </c>
      <c r="J741" s="55"/>
      <c r="K741" s="58">
        <v>121</v>
      </c>
      <c r="L741" s="56"/>
      <c r="M741" s="55"/>
      <c r="N741" s="56"/>
      <c r="O741" s="55"/>
      <c r="P741" s="77">
        <v>372.30099999999999</v>
      </c>
      <c r="Q741"/>
      <c r="R741"/>
      <c r="S741"/>
      <c r="T741">
        <f>T1812</f>
        <v>0</v>
      </c>
      <c r="U741" s="65">
        <v>323.74</v>
      </c>
      <c r="V741"/>
      <c r="W741" s="58">
        <v>121</v>
      </c>
      <c r="X741"/>
      <c r="Y741"/>
      <c r="Z741"/>
      <c r="AA741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38"/>
      <c r="AW741" s="38"/>
      <c r="AX741" s="38"/>
      <c r="AY741" s="38"/>
      <c r="AZ741" s="6" t="s">
        <v>216</v>
      </c>
      <c r="BA741" s="38"/>
      <c r="BB741" s="6"/>
      <c r="BC741" s="6"/>
      <c r="BD741" s="6"/>
      <c r="BE741" s="6"/>
      <c r="BF741" s="6"/>
      <c r="BG741" s="6"/>
      <c r="BH741" s="6"/>
      <c r="BI741" s="6"/>
      <c r="BJ741" s="6"/>
      <c r="BK741" s="6"/>
    </row>
    <row r="742" spans="1:63" s="19" customFormat="1" ht="34.5" x14ac:dyDescent="0.25">
      <c r="A742" s="52"/>
      <c r="B742" s="53" t="s">
        <v>217</v>
      </c>
      <c r="C742" s="104" t="s">
        <v>218</v>
      </c>
      <c r="D742" s="104"/>
      <c r="E742" s="104"/>
      <c r="F742" s="104"/>
      <c r="G742" s="104"/>
      <c r="H742" s="54" t="s">
        <v>60</v>
      </c>
      <c r="I742" s="58">
        <v>72</v>
      </c>
      <c r="J742" s="55"/>
      <c r="K742" s="58">
        <v>72</v>
      </c>
      <c r="L742" s="56"/>
      <c r="M742" s="55"/>
      <c r="N742" s="56"/>
      <c r="O742" s="55"/>
      <c r="P742" s="77">
        <v>221.53599999999997</v>
      </c>
      <c r="Q742"/>
      <c r="R742"/>
      <c r="S742"/>
      <c r="T742">
        <f>T1812</f>
        <v>0</v>
      </c>
      <c r="U742" s="65">
        <v>192.64</v>
      </c>
      <c r="V742"/>
      <c r="W742" s="58">
        <v>72</v>
      </c>
      <c r="X742"/>
      <c r="Y742"/>
      <c r="Z742"/>
      <c r="AA742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38"/>
      <c r="AW742" s="38"/>
      <c r="AX742" s="38"/>
      <c r="AY742" s="38"/>
      <c r="AZ742" s="6" t="s">
        <v>218</v>
      </c>
      <c r="BA742" s="38"/>
      <c r="BB742" s="6"/>
      <c r="BC742" s="6"/>
      <c r="BD742" s="6"/>
      <c r="BE742" s="6"/>
      <c r="BF742" s="6"/>
      <c r="BG742" s="6"/>
      <c r="BH742" s="6"/>
      <c r="BI742" s="6"/>
      <c r="BJ742" s="6"/>
      <c r="BK742" s="6"/>
    </row>
    <row r="743" spans="1:63" s="19" customFormat="1" ht="15" x14ac:dyDescent="0.25">
      <c r="A743" s="59"/>
      <c r="B743" s="98"/>
      <c r="C743" s="102" t="s">
        <v>63</v>
      </c>
      <c r="D743" s="102"/>
      <c r="E743" s="102"/>
      <c r="F743" s="102"/>
      <c r="G743" s="102"/>
      <c r="H743" s="41"/>
      <c r="I743" s="42"/>
      <c r="J743" s="42"/>
      <c r="K743" s="42"/>
      <c r="L743" s="45"/>
      <c r="M743" s="42"/>
      <c r="N743" s="49">
        <v>16327.8</v>
      </c>
      <c r="O743" s="42"/>
      <c r="P743" s="50">
        <v>938.84849999999994</v>
      </c>
      <c r="Q743"/>
      <c r="R743"/>
      <c r="S743"/>
      <c r="T743">
        <f>T1812</f>
        <v>0</v>
      </c>
      <c r="U743" s="63">
        <f>816.39*(K738/W738)</f>
        <v>816.39</v>
      </c>
      <c r="V743"/>
      <c r="W743" s="42"/>
      <c r="X743"/>
      <c r="Y743"/>
      <c r="Z743"/>
      <c r="AA743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38"/>
      <c r="AW743" s="38"/>
      <c r="AX743" s="38"/>
      <c r="AY743" s="38"/>
      <c r="AZ743" s="6"/>
      <c r="BA743" s="38" t="s">
        <v>63</v>
      </c>
      <c r="BB743" s="6"/>
      <c r="BC743" s="6"/>
      <c r="BD743" s="6"/>
      <c r="BE743" s="6"/>
      <c r="BF743" s="6"/>
      <c r="BG743" s="6"/>
      <c r="BH743" s="6"/>
      <c r="BI743" s="6"/>
      <c r="BJ743" s="6"/>
      <c r="BK743" s="6"/>
    </row>
    <row r="744" spans="1:63" s="19" customFormat="1" ht="23.25" x14ac:dyDescent="0.25">
      <c r="A744" s="39" t="s">
        <v>696</v>
      </c>
      <c r="B744" s="97" t="s">
        <v>268</v>
      </c>
      <c r="C744" s="103" t="s">
        <v>269</v>
      </c>
      <c r="D744" s="103"/>
      <c r="E744" s="103"/>
      <c r="F744" s="103"/>
      <c r="G744" s="103"/>
      <c r="H744" s="41" t="s">
        <v>244</v>
      </c>
      <c r="I744" s="42">
        <v>5.125</v>
      </c>
      <c r="J744" s="43">
        <v>1</v>
      </c>
      <c r="K744" s="66">
        <v>5.125</v>
      </c>
      <c r="L744" s="61">
        <v>45.1</v>
      </c>
      <c r="M744" s="62">
        <v>1.01</v>
      </c>
      <c r="N744" s="61">
        <v>45.55</v>
      </c>
      <c r="O744" s="42"/>
      <c r="P744" s="50">
        <v>268.45599999999996</v>
      </c>
      <c r="Q744"/>
      <c r="R744"/>
      <c r="S744"/>
      <c r="T744">
        <f>T1812</f>
        <v>0</v>
      </c>
      <c r="U744" s="63">
        <f>U745</f>
        <v>233.44</v>
      </c>
      <c r="V744"/>
      <c r="W744" s="66">
        <v>5.125</v>
      </c>
      <c r="X744"/>
      <c r="Y744"/>
      <c r="Z744"/>
      <c r="AA744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38"/>
      <c r="AW744" s="38"/>
      <c r="AX744" s="38" t="s">
        <v>269</v>
      </c>
      <c r="AY744" s="38"/>
      <c r="AZ744" s="6"/>
      <c r="BA744" s="38"/>
      <c r="BB744" s="6"/>
      <c r="BC744" s="6"/>
      <c r="BD744" s="6"/>
      <c r="BE744" s="6"/>
      <c r="BF744" s="6"/>
      <c r="BG744" s="6"/>
      <c r="BH744" s="6"/>
      <c r="BI744" s="6"/>
      <c r="BJ744" s="6"/>
      <c r="BK744" s="6"/>
    </row>
    <row r="745" spans="1:63" s="19" customFormat="1" ht="15" x14ac:dyDescent="0.25">
      <c r="A745" s="59"/>
      <c r="B745" s="98"/>
      <c r="C745" s="102" t="s">
        <v>63</v>
      </c>
      <c r="D745" s="102"/>
      <c r="E745" s="102"/>
      <c r="F745" s="102"/>
      <c r="G745" s="102"/>
      <c r="H745" s="41"/>
      <c r="I745" s="42"/>
      <c r="J745" s="42"/>
      <c r="K745" s="42"/>
      <c r="L745" s="45"/>
      <c r="M745" s="42"/>
      <c r="N745" s="45"/>
      <c r="O745" s="42"/>
      <c r="P745" s="50">
        <v>268.45599999999996</v>
      </c>
      <c r="Q745"/>
      <c r="R745"/>
      <c r="S745"/>
      <c r="T745">
        <f>T1812</f>
        <v>0</v>
      </c>
      <c r="U745" s="63">
        <f>233.44*(K744/W744)</f>
        <v>233.44</v>
      </c>
      <c r="V745"/>
      <c r="W745" s="42"/>
      <c r="X745"/>
      <c r="Y745"/>
      <c r="Z745"/>
      <c r="AA745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38"/>
      <c r="AW745" s="38"/>
      <c r="AX745" s="38"/>
      <c r="AY745" s="38"/>
      <c r="AZ745" s="6"/>
      <c r="BA745" s="38" t="s">
        <v>63</v>
      </c>
      <c r="BB745" s="6"/>
      <c r="BC745" s="6"/>
      <c r="BD745" s="6"/>
      <c r="BE745" s="6"/>
      <c r="BF745" s="6"/>
      <c r="BG745" s="6"/>
      <c r="BH745" s="6"/>
      <c r="BI745" s="6"/>
      <c r="BJ745" s="6"/>
      <c r="BK745" s="6"/>
    </row>
    <row r="746" spans="1:63" s="19" customFormat="1" ht="15" x14ac:dyDescent="0.25">
      <c r="A746" s="39" t="s">
        <v>697</v>
      </c>
      <c r="B746" s="97" t="s">
        <v>271</v>
      </c>
      <c r="C746" s="103" t="s">
        <v>272</v>
      </c>
      <c r="D746" s="103"/>
      <c r="E746" s="103"/>
      <c r="F746" s="103"/>
      <c r="G746" s="103"/>
      <c r="H746" s="41" t="s">
        <v>83</v>
      </c>
      <c r="I746" s="42">
        <v>1</v>
      </c>
      <c r="J746" s="43">
        <v>1</v>
      </c>
      <c r="K746" s="43">
        <v>1</v>
      </c>
      <c r="L746" s="61">
        <v>8.2899999999999991</v>
      </c>
      <c r="M746" s="62">
        <v>1.01</v>
      </c>
      <c r="N746" s="61">
        <v>8.3699999999999992</v>
      </c>
      <c r="O746" s="42"/>
      <c r="P746" s="50">
        <v>9.6254999999999988</v>
      </c>
      <c r="Q746"/>
      <c r="R746"/>
      <c r="S746"/>
      <c r="T746">
        <f>T1812</f>
        <v>0</v>
      </c>
      <c r="U746" s="63">
        <f>U747</f>
        <v>8.3699999999999992</v>
      </c>
      <c r="V746"/>
      <c r="W746" s="43">
        <v>1</v>
      </c>
      <c r="X746"/>
      <c r="Y746"/>
      <c r="Z746"/>
      <c r="AA74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38"/>
      <c r="AW746" s="38"/>
      <c r="AX746" s="38" t="s">
        <v>272</v>
      </c>
      <c r="AY746" s="38"/>
      <c r="AZ746" s="6"/>
      <c r="BA746" s="38"/>
      <c r="BB746" s="6"/>
      <c r="BC746" s="6"/>
      <c r="BD746" s="6"/>
      <c r="BE746" s="6"/>
      <c r="BF746" s="6"/>
      <c r="BG746" s="6"/>
      <c r="BH746" s="6"/>
      <c r="BI746" s="6"/>
      <c r="BJ746" s="6"/>
      <c r="BK746" s="6"/>
    </row>
    <row r="747" spans="1:63" s="19" customFormat="1" ht="15" x14ac:dyDescent="0.25">
      <c r="A747" s="59"/>
      <c r="B747" s="98"/>
      <c r="C747" s="102" t="s">
        <v>63</v>
      </c>
      <c r="D747" s="102"/>
      <c r="E747" s="102"/>
      <c r="F747" s="102"/>
      <c r="G747" s="102"/>
      <c r="H747" s="41"/>
      <c r="I747" s="42"/>
      <c r="J747" s="42"/>
      <c r="K747" s="42"/>
      <c r="L747" s="45"/>
      <c r="M747" s="42"/>
      <c r="N747" s="45"/>
      <c r="O747" s="42"/>
      <c r="P747" s="50">
        <v>9.6254999999999988</v>
      </c>
      <c r="Q747"/>
      <c r="R747"/>
      <c r="S747"/>
      <c r="T747">
        <f>T1812</f>
        <v>0</v>
      </c>
      <c r="U747" s="63">
        <f>8.37*(K746/W746)</f>
        <v>8.3699999999999992</v>
      </c>
      <c r="V747"/>
      <c r="W747" s="42"/>
      <c r="X747"/>
      <c r="Y747"/>
      <c r="Z747"/>
      <c r="AA747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38"/>
      <c r="AW747" s="38"/>
      <c r="AX747" s="38"/>
      <c r="AY747" s="38"/>
      <c r="AZ747" s="6"/>
      <c r="BA747" s="38" t="s">
        <v>63</v>
      </c>
      <c r="BB747" s="6"/>
      <c r="BC747" s="6"/>
      <c r="BD747" s="6"/>
      <c r="BE747" s="6"/>
      <c r="BF747" s="6"/>
      <c r="BG747" s="6"/>
      <c r="BH747" s="6"/>
      <c r="BI747" s="6"/>
      <c r="BJ747" s="6"/>
      <c r="BK747" s="6"/>
    </row>
    <row r="748" spans="1:63" s="19" customFormat="1" ht="15" x14ac:dyDescent="0.25">
      <c r="A748" s="39" t="s">
        <v>698</v>
      </c>
      <c r="B748" s="97" t="s">
        <v>274</v>
      </c>
      <c r="C748" s="103" t="s">
        <v>275</v>
      </c>
      <c r="D748" s="103"/>
      <c r="E748" s="103"/>
      <c r="F748" s="103"/>
      <c r="G748" s="103"/>
      <c r="H748" s="41" t="s">
        <v>83</v>
      </c>
      <c r="I748" s="42">
        <v>2</v>
      </c>
      <c r="J748" s="43">
        <v>1</v>
      </c>
      <c r="K748" s="43">
        <v>2</v>
      </c>
      <c r="L748" s="61">
        <v>6.28</v>
      </c>
      <c r="M748" s="62">
        <v>1.01</v>
      </c>
      <c r="N748" s="61">
        <v>6.34</v>
      </c>
      <c r="O748" s="42"/>
      <c r="P748" s="50">
        <v>14.581999999999999</v>
      </c>
      <c r="Q748"/>
      <c r="R748"/>
      <c r="S748"/>
      <c r="T748">
        <f>T1812</f>
        <v>0</v>
      </c>
      <c r="U748" s="63">
        <f>U749</f>
        <v>12.68</v>
      </c>
      <c r="V748"/>
      <c r="W748" s="43">
        <v>2</v>
      </c>
      <c r="X748"/>
      <c r="Y748"/>
      <c r="Z748"/>
      <c r="AA748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38"/>
      <c r="AW748" s="38"/>
      <c r="AX748" s="38" t="s">
        <v>275</v>
      </c>
      <c r="AY748" s="38"/>
      <c r="AZ748" s="6"/>
      <c r="BA748" s="38"/>
      <c r="BB748" s="6"/>
      <c r="BC748" s="6"/>
      <c r="BD748" s="6"/>
      <c r="BE748" s="6"/>
      <c r="BF748" s="6"/>
      <c r="BG748" s="6"/>
      <c r="BH748" s="6"/>
      <c r="BI748" s="6"/>
      <c r="BJ748" s="6"/>
      <c r="BK748" s="6"/>
    </row>
    <row r="749" spans="1:63" s="19" customFormat="1" ht="15" x14ac:dyDescent="0.25">
      <c r="A749" s="59"/>
      <c r="B749" s="98"/>
      <c r="C749" s="102" t="s">
        <v>63</v>
      </c>
      <c r="D749" s="102"/>
      <c r="E749" s="102"/>
      <c r="F749" s="102"/>
      <c r="G749" s="102"/>
      <c r="H749" s="41"/>
      <c r="I749" s="42"/>
      <c r="J749" s="42"/>
      <c r="K749" s="42"/>
      <c r="L749" s="45"/>
      <c r="M749" s="42"/>
      <c r="N749" s="45"/>
      <c r="O749" s="42"/>
      <c r="P749" s="50">
        <v>14.581999999999999</v>
      </c>
      <c r="Q749"/>
      <c r="R749"/>
      <c r="S749"/>
      <c r="T749">
        <f>T1812</f>
        <v>0</v>
      </c>
      <c r="U749" s="63">
        <f>12.68*(K748/W748)</f>
        <v>12.68</v>
      </c>
      <c r="V749"/>
      <c r="W749" s="42"/>
      <c r="X749"/>
      <c r="Y749"/>
      <c r="Z749"/>
      <c r="AA749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38"/>
      <c r="AW749" s="38"/>
      <c r="AX749" s="38"/>
      <c r="AY749" s="38"/>
      <c r="AZ749" s="6"/>
      <c r="BA749" s="38" t="s">
        <v>63</v>
      </c>
      <c r="BB749" s="6"/>
      <c r="BC749" s="6"/>
      <c r="BD749" s="6"/>
      <c r="BE749" s="6"/>
      <c r="BF749" s="6"/>
      <c r="BG749" s="6"/>
      <c r="BH749" s="6"/>
      <c r="BI749" s="6"/>
      <c r="BJ749" s="6"/>
      <c r="BK749" s="6"/>
    </row>
    <row r="750" spans="1:63" s="19" customFormat="1" ht="34.5" x14ac:dyDescent="0.25">
      <c r="A750" s="39" t="s">
        <v>699</v>
      </c>
      <c r="B750" s="97" t="s">
        <v>277</v>
      </c>
      <c r="C750" s="103" t="s">
        <v>278</v>
      </c>
      <c r="D750" s="103"/>
      <c r="E750" s="103"/>
      <c r="F750" s="103"/>
      <c r="G750" s="103"/>
      <c r="H750" s="41" t="s">
        <v>83</v>
      </c>
      <c r="I750" s="42">
        <v>6</v>
      </c>
      <c r="J750" s="43">
        <v>1</v>
      </c>
      <c r="K750" s="43">
        <v>6</v>
      </c>
      <c r="L750" s="61">
        <v>45.79</v>
      </c>
      <c r="M750" s="62">
        <v>1.01</v>
      </c>
      <c r="N750" s="61">
        <v>46.25</v>
      </c>
      <c r="O750" s="42"/>
      <c r="P750" s="50">
        <v>319.125</v>
      </c>
      <c r="Q750"/>
      <c r="R750"/>
      <c r="S750"/>
      <c r="T750">
        <f>T1812</f>
        <v>0</v>
      </c>
      <c r="U750" s="63">
        <f>U751</f>
        <v>277.5</v>
      </c>
      <c r="V750"/>
      <c r="W750" s="43">
        <v>6</v>
      </c>
      <c r="X750"/>
      <c r="Y750"/>
      <c r="Z750"/>
      <c r="AA750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38"/>
      <c r="AW750" s="38"/>
      <c r="AX750" s="38" t="s">
        <v>278</v>
      </c>
      <c r="AY750" s="38"/>
      <c r="AZ750" s="6"/>
      <c r="BA750" s="38"/>
      <c r="BB750" s="6"/>
      <c r="BC750" s="6"/>
      <c r="BD750" s="6"/>
      <c r="BE750" s="6"/>
      <c r="BF750" s="6"/>
      <c r="BG750" s="6"/>
      <c r="BH750" s="6"/>
      <c r="BI750" s="6"/>
      <c r="BJ750" s="6"/>
      <c r="BK750" s="6"/>
    </row>
    <row r="751" spans="1:63" s="19" customFormat="1" ht="15" x14ac:dyDescent="0.25">
      <c r="A751" s="59"/>
      <c r="B751" s="98"/>
      <c r="C751" s="102" t="s">
        <v>63</v>
      </c>
      <c r="D751" s="102"/>
      <c r="E751" s="102"/>
      <c r="F751" s="102"/>
      <c r="G751" s="102"/>
      <c r="H751" s="41"/>
      <c r="I751" s="42"/>
      <c r="J751" s="42"/>
      <c r="K751" s="42"/>
      <c r="L751" s="45"/>
      <c r="M751" s="42"/>
      <c r="N751" s="45"/>
      <c r="O751" s="42"/>
      <c r="P751" s="50">
        <v>319.125</v>
      </c>
      <c r="Q751"/>
      <c r="R751"/>
      <c r="S751"/>
      <c r="T751">
        <f>T1812</f>
        <v>0</v>
      </c>
      <c r="U751" s="63">
        <f>277.5*(K750/W750)</f>
        <v>277.5</v>
      </c>
      <c r="V751"/>
      <c r="W751" s="42"/>
      <c r="X751"/>
      <c r="Y751"/>
      <c r="Z751"/>
      <c r="AA751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38"/>
      <c r="AW751" s="38"/>
      <c r="AX751" s="38"/>
      <c r="AY751" s="38"/>
      <c r="AZ751" s="6"/>
      <c r="BA751" s="38" t="s">
        <v>63</v>
      </c>
      <c r="BB751" s="6"/>
      <c r="BC751" s="6"/>
      <c r="BD751" s="6"/>
      <c r="BE751" s="6"/>
      <c r="BF751" s="6"/>
      <c r="BG751" s="6"/>
      <c r="BH751" s="6"/>
      <c r="BI751" s="6"/>
      <c r="BJ751" s="6"/>
      <c r="BK751" s="6"/>
    </row>
    <row r="752" spans="1:63" s="19" customFormat="1" ht="15" x14ac:dyDescent="0.25">
      <c r="A752" s="39" t="s">
        <v>700</v>
      </c>
      <c r="B752" s="97" t="s">
        <v>280</v>
      </c>
      <c r="C752" s="103" t="s">
        <v>281</v>
      </c>
      <c r="D752" s="103"/>
      <c r="E752" s="103"/>
      <c r="F752" s="103"/>
      <c r="G752" s="103"/>
      <c r="H752" s="41" t="s">
        <v>75</v>
      </c>
      <c r="I752" s="42">
        <v>0.04</v>
      </c>
      <c r="J752" s="43">
        <v>1</v>
      </c>
      <c r="K752" s="62">
        <v>0.04</v>
      </c>
      <c r="L752" s="45"/>
      <c r="M752" s="42"/>
      <c r="N752" s="45"/>
      <c r="O752" s="42"/>
      <c r="P752" s="50"/>
      <c r="Q752"/>
      <c r="R752"/>
      <c r="S752"/>
      <c r="T752">
        <f>T1812</f>
        <v>0</v>
      </c>
      <c r="U752" s="46"/>
      <c r="V752"/>
      <c r="W752" s="62">
        <v>0.02</v>
      </c>
      <c r="X752"/>
      <c r="Y752"/>
      <c r="Z752"/>
      <c r="AA752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38"/>
      <c r="AW752" s="38"/>
      <c r="AX752" s="38" t="s">
        <v>281</v>
      </c>
      <c r="AY752" s="38"/>
      <c r="AZ752" s="6"/>
      <c r="BA752" s="38"/>
      <c r="BB752" s="6"/>
      <c r="BC752" s="6"/>
      <c r="BD752" s="6"/>
      <c r="BE752" s="6"/>
      <c r="BF752" s="6"/>
      <c r="BG752" s="6"/>
      <c r="BH752" s="6"/>
      <c r="BI752" s="6"/>
      <c r="BJ752" s="6"/>
      <c r="BK752" s="6"/>
    </row>
    <row r="753" spans="1:63" s="19" customFormat="1" ht="15" x14ac:dyDescent="0.25">
      <c r="A753" s="47"/>
      <c r="B753" s="48"/>
      <c r="C753" s="102" t="s">
        <v>56</v>
      </c>
      <c r="D753" s="102"/>
      <c r="E753" s="102"/>
      <c r="F753" s="102"/>
      <c r="G753" s="102"/>
      <c r="H753" s="41"/>
      <c r="I753" s="42"/>
      <c r="J753" s="42"/>
      <c r="K753" s="42"/>
      <c r="L753" s="45"/>
      <c r="M753" s="42"/>
      <c r="N753" s="49"/>
      <c r="O753" s="42"/>
      <c r="P753" s="50">
        <v>2405.2824999999998</v>
      </c>
      <c r="Q753" s="51"/>
      <c r="R753" s="51"/>
      <c r="S753"/>
      <c r="T753">
        <f>T1812</f>
        <v>0</v>
      </c>
      <c r="U753" s="50">
        <v>2091.5500000000002</v>
      </c>
      <c r="V753"/>
      <c r="W753" s="42"/>
      <c r="X753"/>
      <c r="Y753"/>
      <c r="Z753"/>
      <c r="AA753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38"/>
      <c r="AW753" s="38"/>
      <c r="AX753" s="38"/>
      <c r="AY753" s="38" t="s">
        <v>56</v>
      </c>
      <c r="AZ753" s="6"/>
      <c r="BA753" s="38"/>
      <c r="BB753" s="6"/>
      <c r="BC753" s="6"/>
      <c r="BD753" s="6"/>
      <c r="BE753" s="6"/>
      <c r="BF753" s="6"/>
      <c r="BG753" s="6"/>
      <c r="BH753" s="6"/>
      <c r="BI753" s="6"/>
      <c r="BJ753" s="6"/>
      <c r="BK753" s="6"/>
    </row>
    <row r="754" spans="1:63" s="19" customFormat="1" ht="15" x14ac:dyDescent="0.25">
      <c r="A754" s="52"/>
      <c r="B754" s="53"/>
      <c r="C754" s="104" t="s">
        <v>57</v>
      </c>
      <c r="D754" s="104"/>
      <c r="E754" s="104"/>
      <c r="F754" s="104"/>
      <c r="G754" s="104"/>
      <c r="H754" s="54"/>
      <c r="I754" s="55"/>
      <c r="J754" s="55"/>
      <c r="K754" s="55"/>
      <c r="L754" s="56"/>
      <c r="M754" s="55"/>
      <c r="N754" s="56"/>
      <c r="O754" s="55"/>
      <c r="P754" s="77">
        <v>1917.7860000000001</v>
      </c>
      <c r="Q754"/>
      <c r="R754"/>
      <c r="S754"/>
      <c r="T754">
        <f>T1812</f>
        <v>0</v>
      </c>
      <c r="U754" s="57">
        <v>1667.64</v>
      </c>
      <c r="V754"/>
      <c r="W754" s="55"/>
      <c r="X754"/>
      <c r="Y754"/>
      <c r="Z754"/>
      <c r="AA754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38"/>
      <c r="AW754" s="38"/>
      <c r="AX754" s="38"/>
      <c r="AY754" s="38"/>
      <c r="AZ754" s="6" t="s">
        <v>57</v>
      </c>
      <c r="BA754" s="38"/>
      <c r="BB754" s="6"/>
      <c r="BC754" s="6"/>
      <c r="BD754" s="6"/>
      <c r="BE754" s="6"/>
      <c r="BF754" s="6"/>
      <c r="BG754" s="6"/>
      <c r="BH754" s="6"/>
      <c r="BI754" s="6"/>
      <c r="BJ754" s="6"/>
      <c r="BK754" s="6"/>
    </row>
    <row r="755" spans="1:63" s="19" customFormat="1" ht="34.5" x14ac:dyDescent="0.25">
      <c r="A755" s="52"/>
      <c r="B755" s="53" t="s">
        <v>225</v>
      </c>
      <c r="C755" s="104" t="s">
        <v>226</v>
      </c>
      <c r="D755" s="104"/>
      <c r="E755" s="104"/>
      <c r="F755" s="104"/>
      <c r="G755" s="104"/>
      <c r="H755" s="54" t="s">
        <v>60</v>
      </c>
      <c r="I755" s="58">
        <v>103</v>
      </c>
      <c r="J755" s="55"/>
      <c r="K755" s="58">
        <v>103</v>
      </c>
      <c r="L755" s="56"/>
      <c r="M755" s="55"/>
      <c r="N755" s="56"/>
      <c r="O755" s="55"/>
      <c r="P755" s="77">
        <v>1975.3205</v>
      </c>
      <c r="Q755"/>
      <c r="R755"/>
      <c r="S755"/>
      <c r="T755">
        <f>T1812</f>
        <v>0</v>
      </c>
      <c r="U755" s="57">
        <v>1717.67</v>
      </c>
      <c r="V755"/>
      <c r="W755" s="58">
        <v>103</v>
      </c>
      <c r="X755"/>
      <c r="Y755"/>
      <c r="Z755"/>
      <c r="AA755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38"/>
      <c r="AW755" s="38"/>
      <c r="AX755" s="38"/>
      <c r="AY755" s="38"/>
      <c r="AZ755" s="6" t="s">
        <v>226</v>
      </c>
      <c r="BA755" s="38"/>
      <c r="BB755" s="6"/>
      <c r="BC755" s="6"/>
      <c r="BD755" s="6"/>
      <c r="BE755" s="6"/>
      <c r="BF755" s="6"/>
      <c r="BG755" s="6"/>
      <c r="BH755" s="6"/>
      <c r="BI755" s="6"/>
      <c r="BJ755" s="6"/>
      <c r="BK755" s="6"/>
    </row>
    <row r="756" spans="1:63" s="19" customFormat="1" ht="34.5" x14ac:dyDescent="0.25">
      <c r="A756" s="52"/>
      <c r="B756" s="53" t="s">
        <v>227</v>
      </c>
      <c r="C756" s="104" t="s">
        <v>228</v>
      </c>
      <c r="D756" s="104"/>
      <c r="E756" s="104"/>
      <c r="F756" s="104"/>
      <c r="G756" s="104"/>
      <c r="H756" s="54" t="s">
        <v>60</v>
      </c>
      <c r="I756" s="58">
        <v>52</v>
      </c>
      <c r="J756" s="55"/>
      <c r="K756" s="58">
        <v>52</v>
      </c>
      <c r="L756" s="56"/>
      <c r="M756" s="55"/>
      <c r="N756" s="56"/>
      <c r="O756" s="55"/>
      <c r="P756" s="77">
        <v>997.24549999999988</v>
      </c>
      <c r="Q756"/>
      <c r="R756"/>
      <c r="S756"/>
      <c r="T756">
        <f>T1812</f>
        <v>0</v>
      </c>
      <c r="U756" s="65">
        <v>867.17</v>
      </c>
      <c r="V756"/>
      <c r="W756" s="58">
        <v>52</v>
      </c>
      <c r="X756"/>
      <c r="Y756"/>
      <c r="Z756"/>
      <c r="AA75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38"/>
      <c r="AW756" s="38"/>
      <c r="AX756" s="38"/>
      <c r="AY756" s="38"/>
      <c r="AZ756" s="6" t="s">
        <v>228</v>
      </c>
      <c r="BA756" s="38"/>
      <c r="BB756" s="6"/>
      <c r="BC756" s="6"/>
      <c r="BD756" s="6"/>
      <c r="BE756" s="6"/>
      <c r="BF756" s="6"/>
      <c r="BG756" s="6"/>
      <c r="BH756" s="6"/>
      <c r="BI756" s="6"/>
      <c r="BJ756" s="6"/>
      <c r="BK756" s="6"/>
    </row>
    <row r="757" spans="1:63" s="19" customFormat="1" ht="15" x14ac:dyDescent="0.25">
      <c r="A757" s="59"/>
      <c r="B757" s="98"/>
      <c r="C757" s="102" t="s">
        <v>63</v>
      </c>
      <c r="D757" s="102"/>
      <c r="E757" s="102"/>
      <c r="F757" s="102"/>
      <c r="G757" s="102"/>
      <c r="H757" s="41"/>
      <c r="I757" s="42"/>
      <c r="J757" s="42"/>
      <c r="K757" s="42"/>
      <c r="L757" s="45"/>
      <c r="M757" s="42"/>
      <c r="N757" s="49">
        <v>233819.5</v>
      </c>
      <c r="O757" s="42"/>
      <c r="P757" s="50">
        <v>8066.7727500000001</v>
      </c>
      <c r="Q757"/>
      <c r="R757"/>
      <c r="S757"/>
      <c r="T757">
        <f>T1812</f>
        <v>0</v>
      </c>
      <c r="U757" s="50">
        <f>4676.39*(K752/W752)</f>
        <v>9352.7800000000007</v>
      </c>
      <c r="V757"/>
      <c r="W757" s="42"/>
      <c r="X757"/>
      <c r="Y757"/>
      <c r="Z757"/>
      <c r="AA757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38"/>
      <c r="AW757" s="38"/>
      <c r="AX757" s="38"/>
      <c r="AY757" s="38"/>
      <c r="AZ757" s="6"/>
      <c r="BA757" s="38" t="s">
        <v>63</v>
      </c>
      <c r="BB757" s="6"/>
      <c r="BC757" s="6"/>
      <c r="BD757" s="6"/>
      <c r="BE757" s="6"/>
      <c r="BF757" s="6"/>
      <c r="BG757" s="6"/>
      <c r="BH757" s="6"/>
      <c r="BI757" s="6"/>
      <c r="BJ757" s="6"/>
      <c r="BK757" s="6"/>
    </row>
    <row r="758" spans="1:63" s="19" customFormat="1" ht="34.5" x14ac:dyDescent="0.25">
      <c r="A758" s="39" t="s">
        <v>701</v>
      </c>
      <c r="B758" s="97" t="s">
        <v>283</v>
      </c>
      <c r="C758" s="103" t="s">
        <v>284</v>
      </c>
      <c r="D758" s="103"/>
      <c r="E758" s="103"/>
      <c r="F758" s="103"/>
      <c r="G758" s="103"/>
      <c r="H758" s="41" t="s">
        <v>222</v>
      </c>
      <c r="I758" s="42">
        <v>4</v>
      </c>
      <c r="J758" s="43">
        <v>1</v>
      </c>
      <c r="K758" s="43">
        <v>4</v>
      </c>
      <c r="L758" s="49">
        <v>1181.19</v>
      </c>
      <c r="M758" s="62">
        <v>1.46</v>
      </c>
      <c r="N758" s="49">
        <v>1724.54</v>
      </c>
      <c r="O758" s="42"/>
      <c r="P758" s="50">
        <v>7932.8839999999991</v>
      </c>
      <c r="Q758"/>
      <c r="R758"/>
      <c r="S758"/>
      <c r="T758">
        <f>T1812</f>
        <v>0</v>
      </c>
      <c r="U758" s="50">
        <f>U759</f>
        <v>6898.16</v>
      </c>
      <c r="V758"/>
      <c r="W758" s="43">
        <v>2</v>
      </c>
      <c r="X758"/>
      <c r="Y758"/>
      <c r="Z758"/>
      <c r="AA758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38"/>
      <c r="AW758" s="38"/>
      <c r="AX758" s="38" t="s">
        <v>284</v>
      </c>
      <c r="AY758" s="38"/>
      <c r="AZ758" s="6"/>
      <c r="BA758" s="38"/>
      <c r="BB758" s="6"/>
      <c r="BC758" s="6"/>
      <c r="BD758" s="6"/>
      <c r="BE758" s="6"/>
      <c r="BF758" s="6"/>
      <c r="BG758" s="6"/>
      <c r="BH758" s="6"/>
      <c r="BI758" s="6"/>
      <c r="BJ758" s="6"/>
      <c r="BK758" s="6"/>
    </row>
    <row r="759" spans="1:63" s="19" customFormat="1" ht="15" x14ac:dyDescent="0.25">
      <c r="A759" s="59"/>
      <c r="B759" s="98"/>
      <c r="C759" s="102" t="s">
        <v>63</v>
      </c>
      <c r="D759" s="102"/>
      <c r="E759" s="102"/>
      <c r="F759" s="102"/>
      <c r="G759" s="102"/>
      <c r="H759" s="41"/>
      <c r="I759" s="42"/>
      <c r="J759" s="42"/>
      <c r="K759" s="42"/>
      <c r="L759" s="45"/>
      <c r="M759" s="42"/>
      <c r="N759" s="45"/>
      <c r="O759" s="42"/>
      <c r="P759" s="50">
        <v>7932.8839999999991</v>
      </c>
      <c r="Q759"/>
      <c r="R759"/>
      <c r="S759"/>
      <c r="T759">
        <f>T1812</f>
        <v>0</v>
      </c>
      <c r="U759" s="50">
        <f>3449.08*(K758/W758)</f>
        <v>6898.16</v>
      </c>
      <c r="V759"/>
      <c r="W759"/>
      <c r="X759"/>
      <c r="Y759"/>
      <c r="Z759"/>
      <c r="AA759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38"/>
      <c r="AW759" s="38"/>
      <c r="AX759" s="38"/>
      <c r="AY759" s="38"/>
      <c r="AZ759" s="6"/>
      <c r="BA759" s="38" t="s">
        <v>63</v>
      </c>
      <c r="BB759" s="6"/>
      <c r="BC759" s="6"/>
      <c r="BD759" s="6"/>
      <c r="BE759" s="6"/>
      <c r="BF759" s="6"/>
      <c r="BG759" s="6"/>
      <c r="BH759" s="6"/>
      <c r="BI759" s="6"/>
      <c r="BJ759" s="6"/>
      <c r="BK759" s="6"/>
    </row>
    <row r="760" spans="1:63" s="19" customFormat="1" ht="34.5" x14ac:dyDescent="0.25">
      <c r="A760" s="39" t="s">
        <v>702</v>
      </c>
      <c r="B760" s="97" t="s">
        <v>287</v>
      </c>
      <c r="C760" s="103" t="s">
        <v>288</v>
      </c>
      <c r="D760" s="103"/>
      <c r="E760" s="103"/>
      <c r="F760" s="103"/>
      <c r="G760" s="103"/>
      <c r="H760" s="41" t="s">
        <v>222</v>
      </c>
      <c r="I760" s="42">
        <v>4</v>
      </c>
      <c r="J760" s="43">
        <v>1</v>
      </c>
      <c r="K760" s="43">
        <v>4</v>
      </c>
      <c r="L760" s="49">
        <v>1164.77</v>
      </c>
      <c r="M760" s="62">
        <v>1.1299999999999999</v>
      </c>
      <c r="N760" s="49">
        <v>2316.19</v>
      </c>
      <c r="O760" s="42"/>
      <c r="P760" s="50">
        <v>10054.48</v>
      </c>
      <c r="Q760"/>
      <c r="R760"/>
      <c r="S760"/>
      <c r="T760">
        <f>T1812</f>
        <v>0</v>
      </c>
      <c r="U760" s="50">
        <f>U761</f>
        <v>5264.76</v>
      </c>
      <c r="V760"/>
      <c r="W760" s="43">
        <v>2</v>
      </c>
      <c r="X760"/>
      <c r="Y760"/>
      <c r="Z760"/>
      <c r="AA760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38"/>
      <c r="AW760" s="38"/>
      <c r="AX760" s="38" t="s">
        <v>288</v>
      </c>
      <c r="AY760" s="38"/>
      <c r="AZ760" s="6"/>
      <c r="BA760" s="38"/>
      <c r="BB760" s="6"/>
      <c r="BC760" s="6"/>
      <c r="BD760" s="6"/>
      <c r="BE760" s="6"/>
      <c r="BF760" s="6"/>
      <c r="BG760" s="6"/>
      <c r="BH760" s="6"/>
      <c r="BI760" s="6"/>
      <c r="BJ760" s="6"/>
      <c r="BK760" s="6"/>
    </row>
    <row r="761" spans="1:63" s="19" customFormat="1" ht="15" x14ac:dyDescent="0.25">
      <c r="A761" s="59"/>
      <c r="B761" s="98"/>
      <c r="C761" s="102" t="s">
        <v>63</v>
      </c>
      <c r="D761" s="102"/>
      <c r="E761" s="102"/>
      <c r="F761" s="102"/>
      <c r="G761" s="102"/>
      <c r="H761" s="41"/>
      <c r="I761" s="42"/>
      <c r="J761" s="42"/>
      <c r="K761" s="42"/>
      <c r="L761" s="45"/>
      <c r="M761" s="42"/>
      <c r="N761" s="45"/>
      <c r="O761" s="42"/>
      <c r="P761" s="50">
        <f>P760</f>
        <v>10054.48</v>
      </c>
      <c r="Q761"/>
      <c r="R761"/>
      <c r="S761"/>
      <c r="T761">
        <f>T1812</f>
        <v>0</v>
      </c>
      <c r="U761" s="50">
        <f>2632.38*(K760/W760)</f>
        <v>5264.76</v>
      </c>
      <c r="V761"/>
      <c r="W761" s="42"/>
      <c r="X761"/>
      <c r="Y761"/>
      <c r="Z761"/>
      <c r="AA761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38"/>
      <c r="AW761" s="38"/>
      <c r="AX761" s="38"/>
      <c r="AY761" s="38"/>
      <c r="AZ761" s="6"/>
      <c r="BA761" s="38" t="s">
        <v>63</v>
      </c>
      <c r="BB761" s="6"/>
      <c r="BC761" s="6"/>
      <c r="BD761" s="6"/>
      <c r="BE761" s="6"/>
      <c r="BF761" s="6"/>
      <c r="BG761" s="6"/>
      <c r="BH761" s="6"/>
      <c r="BI761" s="6"/>
      <c r="BJ761" s="6"/>
      <c r="BK761" s="6"/>
    </row>
    <row r="762" spans="1:63" s="19" customFormat="1" ht="23.25" x14ac:dyDescent="0.25">
      <c r="A762" s="39" t="s">
        <v>703</v>
      </c>
      <c r="B762" s="97" t="s">
        <v>290</v>
      </c>
      <c r="C762" s="103" t="s">
        <v>291</v>
      </c>
      <c r="D762" s="103"/>
      <c r="E762" s="103"/>
      <c r="F762" s="103"/>
      <c r="G762" s="103"/>
      <c r="H762" s="41" t="s">
        <v>292</v>
      </c>
      <c r="I762" s="42">
        <v>1</v>
      </c>
      <c r="J762" s="43">
        <v>1</v>
      </c>
      <c r="K762" s="67">
        <v>1</v>
      </c>
      <c r="L762" s="61">
        <v>565.04999999999995</v>
      </c>
      <c r="M762" s="62">
        <v>1.1299999999999999</v>
      </c>
      <c r="N762" s="61">
        <v>638.51</v>
      </c>
      <c r="O762" s="42"/>
      <c r="P762" s="50">
        <v>734.27499999999998</v>
      </c>
      <c r="Q762"/>
      <c r="R762"/>
      <c r="S762"/>
      <c r="T762">
        <f>T1812</f>
        <v>0</v>
      </c>
      <c r="U762" s="63">
        <f>U763</f>
        <v>638.5</v>
      </c>
      <c r="V762"/>
      <c r="W762" s="67">
        <v>0.4</v>
      </c>
      <c r="X762"/>
      <c r="Y762"/>
      <c r="Z762"/>
      <c r="AA762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38"/>
      <c r="AW762" s="38"/>
      <c r="AX762" s="38" t="s">
        <v>291</v>
      </c>
      <c r="AY762" s="38"/>
      <c r="AZ762" s="6"/>
      <c r="BA762" s="38"/>
      <c r="BB762" s="6"/>
      <c r="BC762" s="6"/>
      <c r="BD762" s="6"/>
      <c r="BE762" s="6"/>
      <c r="BF762" s="6"/>
      <c r="BG762" s="6"/>
      <c r="BH762" s="6"/>
      <c r="BI762" s="6"/>
      <c r="BJ762" s="6"/>
      <c r="BK762" s="6"/>
    </row>
    <row r="763" spans="1:63" s="19" customFormat="1" ht="15" x14ac:dyDescent="0.25">
      <c r="A763" s="59"/>
      <c r="B763" s="98"/>
      <c r="C763" s="102" t="s">
        <v>63</v>
      </c>
      <c r="D763" s="102"/>
      <c r="E763" s="102"/>
      <c r="F763" s="102"/>
      <c r="G763" s="102"/>
      <c r="H763" s="41"/>
      <c r="I763" s="42"/>
      <c r="J763" s="42"/>
      <c r="K763" s="42"/>
      <c r="L763" s="45"/>
      <c r="M763" s="42"/>
      <c r="N763" s="45"/>
      <c r="O763" s="42"/>
      <c r="P763" s="50">
        <v>734.27499999999998</v>
      </c>
      <c r="Q763"/>
      <c r="R763"/>
      <c r="S763"/>
      <c r="T763">
        <f>T1812</f>
        <v>0</v>
      </c>
      <c r="U763" s="63">
        <f>255.4*(K762/W762)</f>
        <v>638.5</v>
      </c>
      <c r="V763"/>
      <c r="W763" s="42"/>
      <c r="X763"/>
      <c r="Y763"/>
      <c r="Z763"/>
      <c r="AA763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38"/>
      <c r="AW763" s="38"/>
      <c r="AX763" s="38"/>
      <c r="AY763" s="38"/>
      <c r="AZ763" s="6"/>
      <c r="BA763" s="38" t="s">
        <v>63</v>
      </c>
      <c r="BB763" s="6"/>
      <c r="BC763" s="6"/>
      <c r="BD763" s="6"/>
      <c r="BE763" s="6"/>
      <c r="BF763" s="6"/>
      <c r="BG763" s="6"/>
      <c r="BH763" s="6"/>
      <c r="BI763" s="6"/>
      <c r="BJ763" s="6"/>
      <c r="BK763" s="6"/>
    </row>
    <row r="764" spans="1:63" s="19" customFormat="1" ht="23.25" x14ac:dyDescent="0.25">
      <c r="A764" s="39" t="s">
        <v>704</v>
      </c>
      <c r="B764" s="97" t="s">
        <v>294</v>
      </c>
      <c r="C764" s="103" t="s">
        <v>295</v>
      </c>
      <c r="D764" s="103"/>
      <c r="E764" s="103"/>
      <c r="F764" s="103"/>
      <c r="G764" s="103"/>
      <c r="H764" s="41" t="s">
        <v>83</v>
      </c>
      <c r="I764" s="42">
        <v>11</v>
      </c>
      <c r="J764" s="43">
        <v>1</v>
      </c>
      <c r="K764" s="43">
        <v>11</v>
      </c>
      <c r="L764" s="61">
        <v>279.64999999999998</v>
      </c>
      <c r="M764" s="62">
        <v>1.36</v>
      </c>
      <c r="N764" s="61">
        <v>380.32</v>
      </c>
      <c r="O764" s="42"/>
      <c r="P764" s="50">
        <v>9622.0959999999977</v>
      </c>
      <c r="Q764"/>
      <c r="R764"/>
      <c r="S764"/>
      <c r="T764">
        <f>T1812</f>
        <v>0</v>
      </c>
      <c r="U764" s="50">
        <f>U765</f>
        <v>8367.0399999999991</v>
      </c>
      <c r="V764"/>
      <c r="W764" s="43">
        <v>6</v>
      </c>
      <c r="X764"/>
      <c r="Y764"/>
      <c r="Z764"/>
      <c r="AA764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38"/>
      <c r="AW764" s="38"/>
      <c r="AX764" s="38" t="s">
        <v>295</v>
      </c>
      <c r="AY764" s="38"/>
      <c r="AZ764" s="6"/>
      <c r="BA764" s="38"/>
      <c r="BB764" s="6"/>
      <c r="BC764" s="6"/>
      <c r="BD764" s="6"/>
      <c r="BE764" s="6"/>
      <c r="BF764" s="6"/>
      <c r="BG764" s="6"/>
      <c r="BH764" s="6"/>
      <c r="BI764" s="6"/>
      <c r="BJ764" s="6"/>
      <c r="BK764" s="6"/>
    </row>
    <row r="765" spans="1:63" s="19" customFormat="1" ht="15" x14ac:dyDescent="0.25">
      <c r="A765" s="59"/>
      <c r="B765" s="98"/>
      <c r="C765" s="102" t="s">
        <v>63</v>
      </c>
      <c r="D765" s="102"/>
      <c r="E765" s="102"/>
      <c r="F765" s="102"/>
      <c r="G765" s="102"/>
      <c r="H765" s="41"/>
      <c r="I765" s="42"/>
      <c r="J765" s="42"/>
      <c r="K765" s="42"/>
      <c r="L765" s="45"/>
      <c r="M765" s="42"/>
      <c r="N765" s="45"/>
      <c r="O765" s="42"/>
      <c r="P765" s="50">
        <v>9622.0959999999977</v>
      </c>
      <c r="Q765"/>
      <c r="R765"/>
      <c r="S765"/>
      <c r="T765">
        <f>T1812</f>
        <v>0</v>
      </c>
      <c r="U765" s="50">
        <f>2281.92*2*(K764/W764)</f>
        <v>8367.0399999999991</v>
      </c>
      <c r="V765"/>
      <c r="W765"/>
      <c r="X765"/>
      <c r="Y765"/>
      <c r="Z765"/>
      <c r="AA765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38"/>
      <c r="AW765" s="38"/>
      <c r="AX765" s="38"/>
      <c r="AY765" s="38"/>
      <c r="AZ765" s="6"/>
      <c r="BA765" s="38" t="s">
        <v>63</v>
      </c>
      <c r="BB765" s="6"/>
      <c r="BC765" s="6"/>
      <c r="BD765" s="6"/>
      <c r="BE765" s="6"/>
      <c r="BF765" s="6"/>
      <c r="BG765" s="6"/>
      <c r="BH765" s="6"/>
      <c r="BI765" s="6"/>
      <c r="BJ765" s="6"/>
      <c r="BK765" s="6"/>
    </row>
    <row r="766" spans="1:63" s="19" customFormat="1" ht="0" hidden="1" customHeight="1" x14ac:dyDescent="0.25">
      <c r="A766" s="70"/>
      <c r="B766" s="71"/>
      <c r="C766" s="71"/>
      <c r="D766" s="71"/>
      <c r="E766" s="71"/>
      <c r="F766" s="72"/>
      <c r="G766" s="72"/>
      <c r="H766" s="72"/>
      <c r="I766" s="72"/>
      <c r="J766" s="73"/>
      <c r="K766" s="72"/>
      <c r="L766" s="72"/>
      <c r="M766" s="72"/>
      <c r="N766" s="73"/>
      <c r="O766" s="74"/>
      <c r="P766" s="50">
        <f t="shared" ref="P766:P767" si="4">T766*U766</f>
        <v>0</v>
      </c>
      <c r="Q766"/>
      <c r="R766"/>
      <c r="S766"/>
      <c r="T766"/>
      <c r="U766" s="73"/>
      <c r="V766"/>
      <c r="W766"/>
      <c r="X766"/>
      <c r="Y766"/>
      <c r="Z766"/>
      <c r="AA76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38"/>
      <c r="AW766" s="38"/>
      <c r="AX766" s="38"/>
      <c r="AY766" s="38"/>
      <c r="AZ766" s="6"/>
      <c r="BA766" s="38"/>
      <c r="BB766" s="6"/>
      <c r="BC766" s="6"/>
      <c r="BD766" s="6"/>
      <c r="BE766" s="6"/>
      <c r="BF766" s="6"/>
      <c r="BG766" s="6"/>
      <c r="BH766" s="6"/>
      <c r="BI766" s="6"/>
      <c r="BJ766" s="6"/>
      <c r="BK766" s="6"/>
    </row>
    <row r="767" spans="1:63" s="19" customFormat="1" ht="15" x14ac:dyDescent="0.25">
      <c r="A767" s="39" t="s">
        <v>705</v>
      </c>
      <c r="B767" s="97" t="s">
        <v>313</v>
      </c>
      <c r="C767" s="103" t="s">
        <v>312</v>
      </c>
      <c r="D767" s="103"/>
      <c r="E767" s="103"/>
      <c r="F767" s="103"/>
      <c r="G767" s="103"/>
      <c r="H767" s="41" t="s">
        <v>75</v>
      </c>
      <c r="I767" s="42">
        <v>0.02</v>
      </c>
      <c r="J767" s="43">
        <v>1</v>
      </c>
      <c r="K767" s="62">
        <v>0.02</v>
      </c>
      <c r="L767" s="45"/>
      <c r="M767" s="42"/>
      <c r="N767" s="45"/>
      <c r="O767" s="42"/>
      <c r="P767" s="50">
        <f t="shared" si="4"/>
        <v>0</v>
      </c>
      <c r="Q767"/>
      <c r="R767"/>
      <c r="S767"/>
      <c r="T767">
        <f>T765</f>
        <v>0</v>
      </c>
      <c r="U767" s="46"/>
      <c r="V767"/>
      <c r="W767" s="62">
        <v>0.02</v>
      </c>
      <c r="X767"/>
      <c r="Y767"/>
      <c r="Z767"/>
      <c r="AA767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38"/>
      <c r="AW767" s="38"/>
      <c r="AX767" s="38" t="s">
        <v>281</v>
      </c>
      <c r="AY767" s="38"/>
      <c r="AZ767" s="6"/>
      <c r="BA767" s="38"/>
      <c r="BB767" s="6"/>
      <c r="BC767" s="6"/>
      <c r="BD767" s="6"/>
      <c r="BE767" s="6"/>
      <c r="BF767" s="6"/>
      <c r="BG767" s="6"/>
      <c r="BH767" s="6"/>
      <c r="BI767" s="6"/>
      <c r="BJ767" s="6"/>
      <c r="BK767" s="6"/>
    </row>
    <row r="768" spans="1:63" s="19" customFormat="1" ht="15" x14ac:dyDescent="0.25">
      <c r="A768" s="47"/>
      <c r="B768" s="48"/>
      <c r="C768" s="102" t="s">
        <v>56</v>
      </c>
      <c r="D768" s="102"/>
      <c r="E768" s="102"/>
      <c r="F768" s="102"/>
      <c r="G768" s="102"/>
      <c r="H768" s="41"/>
      <c r="I768" s="42"/>
      <c r="J768" s="42"/>
      <c r="K768" s="42"/>
      <c r="L768" s="45"/>
      <c r="M768" s="42"/>
      <c r="N768" s="49"/>
      <c r="O768" s="42"/>
      <c r="P768" s="50">
        <v>2405.2824999999998</v>
      </c>
      <c r="Q768" s="51"/>
      <c r="R768" s="51"/>
      <c r="S768"/>
      <c r="T768">
        <f>T767</f>
        <v>0</v>
      </c>
      <c r="U768" s="50">
        <v>2091.5500000000002</v>
      </c>
      <c r="V768"/>
      <c r="W768" s="42"/>
      <c r="X768"/>
      <c r="Y768"/>
      <c r="Z768"/>
      <c r="AA768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38"/>
      <c r="AW768" s="38"/>
      <c r="AX768" s="38"/>
      <c r="AY768" s="38" t="s">
        <v>56</v>
      </c>
      <c r="AZ768" s="6"/>
      <c r="BA768" s="38"/>
      <c r="BB768" s="6"/>
      <c r="BC768" s="6"/>
      <c r="BD768" s="6"/>
      <c r="BE768" s="6"/>
      <c r="BF768" s="6"/>
      <c r="BG768" s="6"/>
      <c r="BH768" s="6"/>
      <c r="BI768" s="6"/>
      <c r="BJ768" s="6"/>
      <c r="BK768" s="6"/>
    </row>
    <row r="769" spans="1:63" s="19" customFormat="1" ht="15" x14ac:dyDescent="0.25">
      <c r="A769" s="52"/>
      <c r="B769" s="53"/>
      <c r="C769" s="104" t="s">
        <v>57</v>
      </c>
      <c r="D769" s="104"/>
      <c r="E769" s="104"/>
      <c r="F769" s="104"/>
      <c r="G769" s="104"/>
      <c r="H769" s="54"/>
      <c r="I769" s="55"/>
      <c r="J769" s="55"/>
      <c r="K769" s="55"/>
      <c r="L769" s="56"/>
      <c r="M769" s="55"/>
      <c r="N769" s="56"/>
      <c r="O769" s="55"/>
      <c r="P769" s="77">
        <v>1917.7860000000001</v>
      </c>
      <c r="Q769"/>
      <c r="R769"/>
      <c r="S769"/>
      <c r="T769">
        <f t="shared" ref="T769:T773" si="5">T768</f>
        <v>0</v>
      </c>
      <c r="U769" s="57">
        <v>1667.64</v>
      </c>
      <c r="V769"/>
      <c r="W769" s="55"/>
      <c r="X769"/>
      <c r="Y769"/>
      <c r="Z769"/>
      <c r="AA769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38"/>
      <c r="AW769" s="38"/>
      <c r="AX769" s="38"/>
      <c r="AY769" s="38"/>
      <c r="AZ769" s="6" t="s">
        <v>57</v>
      </c>
      <c r="BA769" s="38"/>
      <c r="BB769" s="6"/>
      <c r="BC769" s="6"/>
      <c r="BD769" s="6"/>
      <c r="BE769" s="6"/>
      <c r="BF769" s="6"/>
      <c r="BG769" s="6"/>
      <c r="BH769" s="6"/>
      <c r="BI769" s="6"/>
      <c r="BJ769" s="6"/>
      <c r="BK769" s="6"/>
    </row>
    <row r="770" spans="1:63" s="19" customFormat="1" ht="34.5" x14ac:dyDescent="0.25">
      <c r="A770" s="52"/>
      <c r="B770" s="53" t="s">
        <v>225</v>
      </c>
      <c r="C770" s="104" t="s">
        <v>226</v>
      </c>
      <c r="D770" s="104"/>
      <c r="E770" s="104"/>
      <c r="F770" s="104"/>
      <c r="G770" s="104"/>
      <c r="H770" s="54" t="s">
        <v>60</v>
      </c>
      <c r="I770" s="58">
        <v>103</v>
      </c>
      <c r="J770" s="55"/>
      <c r="K770" s="58">
        <v>103</v>
      </c>
      <c r="L770" s="56"/>
      <c r="M770" s="55"/>
      <c r="N770" s="56"/>
      <c r="O770" s="55"/>
      <c r="P770" s="77">
        <v>1975.3205</v>
      </c>
      <c r="Q770"/>
      <c r="R770"/>
      <c r="S770"/>
      <c r="T770">
        <f t="shared" si="5"/>
        <v>0</v>
      </c>
      <c r="U770" s="57">
        <v>1717.67</v>
      </c>
      <c r="V770"/>
      <c r="W770" s="58">
        <v>103</v>
      </c>
      <c r="X770"/>
      <c r="Y770"/>
      <c r="Z770"/>
      <c r="AA770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38"/>
      <c r="AW770" s="38"/>
      <c r="AX770" s="38"/>
      <c r="AY770" s="38"/>
      <c r="AZ770" s="6" t="s">
        <v>226</v>
      </c>
      <c r="BA770" s="38"/>
      <c r="BB770" s="6"/>
      <c r="BC770" s="6"/>
      <c r="BD770" s="6"/>
      <c r="BE770" s="6"/>
      <c r="BF770" s="6"/>
      <c r="BG770" s="6"/>
      <c r="BH770" s="6"/>
      <c r="BI770" s="6"/>
      <c r="BJ770" s="6"/>
      <c r="BK770" s="6"/>
    </row>
    <row r="771" spans="1:63" s="19" customFormat="1" ht="34.5" x14ac:dyDescent="0.25">
      <c r="A771" s="52"/>
      <c r="B771" s="53" t="s">
        <v>227</v>
      </c>
      <c r="C771" s="104" t="s">
        <v>228</v>
      </c>
      <c r="D771" s="104"/>
      <c r="E771" s="104"/>
      <c r="F771" s="104"/>
      <c r="G771" s="104"/>
      <c r="H771" s="54" t="s">
        <v>60</v>
      </c>
      <c r="I771" s="58">
        <v>52</v>
      </c>
      <c r="J771" s="55"/>
      <c r="K771" s="58">
        <v>52</v>
      </c>
      <c r="L771" s="56"/>
      <c r="M771" s="55"/>
      <c r="N771" s="56"/>
      <c r="O771" s="55"/>
      <c r="P771" s="77">
        <v>997.25</v>
      </c>
      <c r="Q771"/>
      <c r="R771"/>
      <c r="S771"/>
      <c r="T771">
        <f t="shared" si="5"/>
        <v>0</v>
      </c>
      <c r="U771" s="65">
        <v>867.17</v>
      </c>
      <c r="V771"/>
      <c r="W771" s="58">
        <v>52</v>
      </c>
      <c r="X771"/>
      <c r="Y771"/>
      <c r="Z771"/>
      <c r="AA771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38"/>
      <c r="AW771" s="38"/>
      <c r="AX771" s="38"/>
      <c r="AY771" s="38"/>
      <c r="AZ771" s="6" t="s">
        <v>228</v>
      </c>
      <c r="BA771" s="38"/>
      <c r="BB771" s="6"/>
      <c r="BC771" s="6"/>
      <c r="BD771" s="6"/>
      <c r="BE771" s="6"/>
      <c r="BF771" s="6"/>
      <c r="BG771" s="6"/>
      <c r="BH771" s="6"/>
      <c r="BI771" s="6"/>
      <c r="BJ771" s="6"/>
      <c r="BK771" s="6"/>
    </row>
    <row r="772" spans="1:63" s="19" customFormat="1" ht="15" x14ac:dyDescent="0.25">
      <c r="A772" s="59"/>
      <c r="B772" s="98"/>
      <c r="C772" s="102" t="s">
        <v>63</v>
      </c>
      <c r="D772" s="102"/>
      <c r="E772" s="102"/>
      <c r="F772" s="102"/>
      <c r="G772" s="102"/>
      <c r="H772" s="41"/>
      <c r="I772" s="42"/>
      <c r="J772" s="42"/>
      <c r="K772" s="42"/>
      <c r="L772" s="45"/>
      <c r="M772" s="42"/>
      <c r="N772" s="49">
        <v>233819.5</v>
      </c>
      <c r="O772" s="42"/>
      <c r="P772" s="50">
        <v>1927.85</v>
      </c>
      <c r="Q772"/>
      <c r="R772"/>
      <c r="S772"/>
      <c r="T772">
        <f t="shared" si="5"/>
        <v>0</v>
      </c>
      <c r="U772" s="50">
        <f>1676.39*(K767/W767)</f>
        <v>1676.39</v>
      </c>
      <c r="V772"/>
      <c r="W772" s="42"/>
      <c r="X772"/>
      <c r="Y772"/>
      <c r="Z772"/>
      <c r="AA772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38"/>
      <c r="AW772" s="38"/>
      <c r="AX772" s="38"/>
      <c r="AY772" s="38"/>
      <c r="AZ772" s="6"/>
      <c r="BA772" s="38" t="s">
        <v>63</v>
      </c>
      <c r="BB772" s="6"/>
      <c r="BC772" s="6"/>
      <c r="BD772" s="6"/>
      <c r="BE772" s="6"/>
      <c r="BF772" s="6"/>
      <c r="BG772" s="6"/>
      <c r="BH772" s="6"/>
      <c r="BI772" s="6"/>
      <c r="BJ772" s="6"/>
      <c r="BK772" s="6"/>
    </row>
    <row r="773" spans="1:63" s="19" customFormat="1" ht="18" customHeight="1" x14ac:dyDescent="0.25">
      <c r="A773" s="39" t="s">
        <v>706</v>
      </c>
      <c r="B773" s="97" t="s">
        <v>314</v>
      </c>
      <c r="C773" s="103" t="s">
        <v>315</v>
      </c>
      <c r="D773" s="103"/>
      <c r="E773" s="103"/>
      <c r="F773" s="103"/>
      <c r="G773" s="103"/>
      <c r="H773" s="41" t="s">
        <v>83</v>
      </c>
      <c r="I773" s="42">
        <v>2</v>
      </c>
      <c r="J773" s="43">
        <v>1</v>
      </c>
      <c r="K773" s="43">
        <v>2</v>
      </c>
      <c r="L773" s="49">
        <v>1181.19</v>
      </c>
      <c r="M773" s="62">
        <v>1.46</v>
      </c>
      <c r="N773" s="49">
        <v>1724.54</v>
      </c>
      <c r="O773" s="42"/>
      <c r="P773" s="50">
        <v>18151.599999999999</v>
      </c>
      <c r="Q773"/>
      <c r="R773"/>
      <c r="S773"/>
      <c r="T773">
        <f t="shared" si="5"/>
        <v>0</v>
      </c>
      <c r="U773" s="50">
        <v>15784</v>
      </c>
      <c r="V773"/>
      <c r="W773" s="43">
        <v>2</v>
      </c>
      <c r="X773"/>
      <c r="Y773"/>
      <c r="Z773"/>
      <c r="AA773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38"/>
      <c r="AW773" s="38"/>
      <c r="AX773" s="38" t="s">
        <v>284</v>
      </c>
      <c r="AY773" s="38"/>
      <c r="AZ773" s="6"/>
      <c r="BA773" s="38"/>
      <c r="BB773" s="6"/>
      <c r="BC773" s="6"/>
      <c r="BD773" s="6"/>
      <c r="BE773" s="6"/>
      <c r="BF773" s="6"/>
      <c r="BG773" s="6"/>
      <c r="BH773" s="6"/>
      <c r="BI773" s="6"/>
      <c r="BJ773" s="6"/>
      <c r="BK773" s="6"/>
    </row>
    <row r="774" spans="1:63" s="262" customFormat="1" ht="15" x14ac:dyDescent="0.25">
      <c r="A774" s="263" t="s">
        <v>580</v>
      </c>
      <c r="B774" s="264"/>
      <c r="C774" s="264"/>
      <c r="D774" s="264"/>
      <c r="E774" s="264"/>
      <c r="F774" s="264"/>
      <c r="G774" s="264"/>
      <c r="H774" s="264"/>
      <c r="I774" s="264"/>
      <c r="J774" s="264"/>
      <c r="K774" s="264"/>
      <c r="L774" s="264"/>
      <c r="M774" s="264"/>
      <c r="N774" s="264"/>
      <c r="O774" s="264"/>
      <c r="P774" s="265" t="s">
        <v>581</v>
      </c>
      <c r="Q774" s="259"/>
      <c r="R774" s="259"/>
      <c r="S774" s="260"/>
      <c r="T774" s="260"/>
      <c r="U774" s="260"/>
      <c r="V774" s="260"/>
      <c r="W774" s="260"/>
      <c r="X774" s="260"/>
      <c r="Y774" s="260"/>
      <c r="Z774" s="260"/>
      <c r="AA774" s="260"/>
      <c r="AB774" s="261"/>
      <c r="AC774" s="261"/>
      <c r="AD774" s="261"/>
      <c r="AE774" s="261"/>
      <c r="AF774" s="261"/>
      <c r="AG774" s="261"/>
      <c r="AH774" s="261"/>
      <c r="AI774" s="261"/>
      <c r="AJ774" s="261"/>
      <c r="AK774" s="261"/>
      <c r="AL774" s="261"/>
      <c r="AM774" s="261"/>
      <c r="AN774" s="261"/>
      <c r="AO774" s="261"/>
      <c r="AP774" s="261"/>
      <c r="AQ774" s="261"/>
      <c r="AR774" s="261"/>
      <c r="AS774" s="261"/>
      <c r="AT774" s="261"/>
      <c r="AU774" s="261"/>
      <c r="AV774" s="261"/>
      <c r="AW774" s="261"/>
      <c r="AX774" s="261"/>
      <c r="AY774" s="261"/>
      <c r="AZ774" s="261"/>
      <c r="BA774" s="261"/>
      <c r="BB774" s="261"/>
      <c r="BC774" s="261"/>
      <c r="BD774" s="261"/>
      <c r="BE774" s="261"/>
      <c r="BF774" s="261"/>
      <c r="BG774" s="261"/>
      <c r="BH774" s="261"/>
      <c r="BI774" s="261"/>
      <c r="BJ774" s="261"/>
      <c r="BK774" s="261"/>
    </row>
    <row r="775" spans="1:63" s="147" customFormat="1" ht="15" x14ac:dyDescent="0.25">
      <c r="A775" s="253" t="s">
        <v>319</v>
      </c>
      <c r="B775" s="254"/>
      <c r="C775" s="254"/>
      <c r="D775" s="254"/>
      <c r="E775" s="254"/>
      <c r="F775" s="254"/>
      <c r="G775" s="254"/>
      <c r="H775" s="254"/>
      <c r="I775" s="254"/>
      <c r="J775" s="254"/>
      <c r="K775" s="254"/>
      <c r="L775" s="254"/>
      <c r="M775" s="254"/>
      <c r="N775" s="254"/>
      <c r="O775" s="254"/>
      <c r="P775" s="255"/>
      <c r="Q775" s="82"/>
      <c r="R775" s="82"/>
      <c r="S775" s="82"/>
      <c r="T775" s="82"/>
      <c r="U775" s="82"/>
      <c r="V775" s="82"/>
      <c r="W775" s="82"/>
      <c r="X775" s="82"/>
      <c r="Y775" s="82"/>
      <c r="Z775" s="82"/>
      <c r="AA775" s="82"/>
      <c r="AB775" s="145"/>
      <c r="AC775" s="145"/>
      <c r="AD775" s="145"/>
      <c r="AE775" s="145"/>
      <c r="AF775" s="145"/>
      <c r="AG775" s="145"/>
      <c r="AH775" s="145"/>
      <c r="AI775" s="145"/>
      <c r="AJ775" s="145"/>
      <c r="AK775" s="145"/>
      <c r="AL775" s="145"/>
      <c r="AM775" s="145"/>
      <c r="AN775" s="145"/>
      <c r="AO775" s="145"/>
      <c r="AP775" s="145"/>
      <c r="AQ775" s="145"/>
      <c r="AR775" s="145"/>
      <c r="AS775" s="145"/>
      <c r="AT775" s="145"/>
      <c r="AU775" s="145"/>
      <c r="AV775" s="146"/>
      <c r="AW775" s="145"/>
      <c r="AX775" s="145"/>
      <c r="AY775" s="145"/>
      <c r="AZ775" s="145"/>
      <c r="BA775" s="145"/>
      <c r="BB775" s="145"/>
      <c r="BC775" s="145"/>
      <c r="BD775" s="145"/>
      <c r="BE775" s="145"/>
      <c r="BF775" s="145"/>
      <c r="BG775" s="145"/>
      <c r="BH775" s="145"/>
      <c r="BI775" s="145"/>
      <c r="BJ775" s="145"/>
      <c r="BK775" s="145"/>
    </row>
    <row r="776" spans="1:63" s="147" customFormat="1" ht="15" x14ac:dyDescent="0.25">
      <c r="A776" s="107" t="s">
        <v>51</v>
      </c>
      <c r="B776" s="108"/>
      <c r="C776" s="108"/>
      <c r="D776" s="108"/>
      <c r="E776" s="108"/>
      <c r="F776" s="108"/>
      <c r="G776" s="108"/>
      <c r="H776" s="108"/>
      <c r="I776" s="108"/>
      <c r="J776" s="108"/>
      <c r="K776" s="108"/>
      <c r="L776" s="108"/>
      <c r="M776" s="108"/>
      <c r="N776" s="108"/>
      <c r="O776" s="108"/>
      <c r="P776" s="109"/>
      <c r="Q776" s="82"/>
      <c r="R776" s="82"/>
      <c r="S776" s="82"/>
      <c r="T776" s="82"/>
      <c r="U776" s="82"/>
      <c r="V776" s="82"/>
      <c r="W776" s="82"/>
      <c r="X776" s="82"/>
      <c r="Y776" s="82"/>
      <c r="Z776" s="82"/>
      <c r="AA776" s="82"/>
      <c r="AB776" s="145"/>
      <c r="AC776" s="145"/>
      <c r="AD776" s="145"/>
      <c r="AE776" s="145"/>
      <c r="AF776" s="145"/>
      <c r="AG776" s="145"/>
      <c r="AH776" s="145"/>
      <c r="AI776" s="145"/>
      <c r="AJ776" s="145"/>
      <c r="AK776" s="145"/>
      <c r="AL776" s="145"/>
      <c r="AM776" s="145"/>
      <c r="AN776" s="145"/>
      <c r="AO776" s="145"/>
      <c r="AP776" s="145"/>
      <c r="AQ776" s="145"/>
      <c r="AR776" s="145"/>
      <c r="AS776" s="145"/>
      <c r="AT776" s="145"/>
      <c r="AU776" s="145"/>
      <c r="AV776" s="146"/>
      <c r="AW776" s="146"/>
      <c r="AX776" s="145"/>
      <c r="AY776" s="145"/>
      <c r="AZ776" s="145"/>
      <c r="BA776" s="145"/>
      <c r="BB776" s="145"/>
      <c r="BC776" s="145"/>
      <c r="BD776" s="145"/>
      <c r="BE776" s="145"/>
      <c r="BF776" s="145"/>
      <c r="BG776" s="145"/>
      <c r="BH776" s="145"/>
      <c r="BI776" s="145"/>
      <c r="BJ776" s="145"/>
      <c r="BK776" s="145"/>
    </row>
    <row r="777" spans="1:63" s="147" customFormat="1" ht="15" x14ac:dyDescent="0.25">
      <c r="A777" s="39" t="s">
        <v>707</v>
      </c>
      <c r="B777" s="97" t="s">
        <v>53</v>
      </c>
      <c r="C777" s="103" t="s">
        <v>54</v>
      </c>
      <c r="D777" s="103"/>
      <c r="E777" s="103"/>
      <c r="F777" s="103"/>
      <c r="G777" s="103"/>
      <c r="H777" s="41" t="s">
        <v>55</v>
      </c>
      <c r="I777" s="42">
        <v>0.1053</v>
      </c>
      <c r="J777" s="43">
        <v>1</v>
      </c>
      <c r="K777" s="42">
        <v>0.1053</v>
      </c>
      <c r="L777" s="45"/>
      <c r="M777" s="42"/>
      <c r="N777" s="45"/>
      <c r="O777" s="42"/>
      <c r="P777" s="46"/>
      <c r="Q777" s="82"/>
      <c r="R777" s="82"/>
      <c r="S777" s="82"/>
      <c r="T777" s="82"/>
      <c r="U777" s="82"/>
      <c r="V777" s="82"/>
      <c r="W777" s="82"/>
      <c r="X777" s="82"/>
      <c r="Y777" s="82"/>
      <c r="Z777" s="82"/>
      <c r="AA777" s="82"/>
      <c r="AB777" s="145"/>
      <c r="AC777" s="145"/>
      <c r="AD777" s="145"/>
      <c r="AE777" s="145"/>
      <c r="AF777" s="145"/>
      <c r="AG777" s="145"/>
      <c r="AH777" s="145"/>
      <c r="AI777" s="145"/>
      <c r="AJ777" s="145"/>
      <c r="AK777" s="145"/>
      <c r="AL777" s="145"/>
      <c r="AM777" s="145"/>
      <c r="AN777" s="145"/>
      <c r="AO777" s="145"/>
      <c r="AP777" s="145"/>
      <c r="AQ777" s="145"/>
      <c r="AR777" s="145"/>
      <c r="AS777" s="145"/>
      <c r="AT777" s="145"/>
      <c r="AU777" s="145"/>
      <c r="AV777" s="146"/>
      <c r="AW777" s="146"/>
      <c r="AX777" s="146"/>
      <c r="AY777" s="145"/>
      <c r="AZ777" s="145"/>
      <c r="BA777" s="145"/>
      <c r="BB777" s="145"/>
      <c r="BC777" s="145"/>
      <c r="BD777" s="145"/>
      <c r="BE777" s="145"/>
      <c r="BF777" s="145"/>
      <c r="BG777" s="145"/>
      <c r="BH777" s="145"/>
      <c r="BI777" s="145"/>
      <c r="BJ777" s="145"/>
      <c r="BK777" s="145"/>
    </row>
    <row r="778" spans="1:63" s="147" customFormat="1" ht="15" x14ac:dyDescent="0.25">
      <c r="A778" s="47"/>
      <c r="B778" s="48"/>
      <c r="C778" s="102" t="s">
        <v>56</v>
      </c>
      <c r="D778" s="102"/>
      <c r="E778" s="102"/>
      <c r="F778" s="102"/>
      <c r="G778" s="102"/>
      <c r="H778" s="41"/>
      <c r="I778" s="42"/>
      <c r="J778" s="42"/>
      <c r="K778" s="42"/>
      <c r="L778" s="45"/>
      <c r="M778" s="42"/>
      <c r="N778" s="49"/>
      <c r="O778" s="42"/>
      <c r="P778" s="50">
        <v>3911.5524999999998</v>
      </c>
      <c r="Q778" s="157"/>
      <c r="R778" s="157"/>
      <c r="S778" s="82"/>
      <c r="T778" s="82"/>
      <c r="U778" s="156"/>
      <c r="V778" s="82"/>
      <c r="X778" s="82"/>
      <c r="Y778" s="82"/>
      <c r="Z778" s="82"/>
      <c r="AA778" s="82"/>
      <c r="AB778" s="145"/>
      <c r="AC778" s="145"/>
      <c r="AD778" s="145"/>
      <c r="AE778" s="145"/>
      <c r="AF778" s="145"/>
      <c r="AG778" s="145"/>
      <c r="AH778" s="145"/>
      <c r="AI778" s="145"/>
      <c r="AJ778" s="145"/>
      <c r="AK778" s="145"/>
      <c r="AL778" s="145"/>
      <c r="AM778" s="145"/>
      <c r="AN778" s="145"/>
      <c r="AO778" s="145"/>
      <c r="AP778" s="145"/>
      <c r="AQ778" s="145"/>
      <c r="AR778" s="145"/>
      <c r="AS778" s="145"/>
      <c r="AT778" s="145"/>
      <c r="AU778" s="145"/>
      <c r="AV778" s="146"/>
      <c r="AW778" s="146"/>
      <c r="AX778" s="146"/>
      <c r="AY778" s="146"/>
      <c r="AZ778" s="145"/>
      <c r="BA778" s="145"/>
      <c r="BB778" s="145"/>
      <c r="BC778" s="145"/>
      <c r="BD778" s="145"/>
      <c r="BE778" s="145"/>
      <c r="BF778" s="145"/>
      <c r="BG778" s="145"/>
      <c r="BH778" s="145"/>
      <c r="BI778" s="145"/>
      <c r="BJ778" s="145"/>
      <c r="BK778" s="145"/>
    </row>
    <row r="779" spans="1:63" s="147" customFormat="1" ht="15" x14ac:dyDescent="0.25">
      <c r="A779" s="52"/>
      <c r="B779" s="53"/>
      <c r="C779" s="104" t="s">
        <v>57</v>
      </c>
      <c r="D779" s="104"/>
      <c r="E779" s="104"/>
      <c r="F779" s="104"/>
      <c r="G779" s="104"/>
      <c r="H779" s="54"/>
      <c r="I779" s="55"/>
      <c r="J779" s="55"/>
      <c r="K779" s="55"/>
      <c r="L779" s="56"/>
      <c r="M779" s="55"/>
      <c r="N779" s="56"/>
      <c r="O779" s="55"/>
      <c r="P779" s="77">
        <v>3212.3754999999996</v>
      </c>
      <c r="Q779" s="82"/>
      <c r="R779" s="82"/>
      <c r="S779" s="82"/>
      <c r="T779" s="82"/>
      <c r="U779" s="163"/>
      <c r="V779" s="82"/>
      <c r="W779" s="151"/>
      <c r="X779" s="82"/>
      <c r="Y779" s="82"/>
      <c r="Z779" s="82"/>
      <c r="AA779" s="82"/>
      <c r="AB779" s="145"/>
      <c r="AC779" s="145"/>
      <c r="AD779" s="145"/>
      <c r="AE779" s="145"/>
      <c r="AF779" s="145"/>
      <c r="AG779" s="145"/>
      <c r="AH779" s="145"/>
      <c r="AI779" s="145"/>
      <c r="AJ779" s="145"/>
      <c r="AK779" s="145"/>
      <c r="AL779" s="145"/>
      <c r="AM779" s="145"/>
      <c r="AN779" s="145"/>
      <c r="AO779" s="145"/>
      <c r="AP779" s="145"/>
      <c r="AQ779" s="145"/>
      <c r="AR779" s="145"/>
      <c r="AS779" s="145"/>
      <c r="AT779" s="145"/>
      <c r="AU779" s="145"/>
      <c r="AV779" s="146"/>
      <c r="AW779" s="146"/>
      <c r="AX779" s="146"/>
      <c r="AY779" s="146"/>
      <c r="AZ779" s="145"/>
      <c r="BA779" s="145"/>
      <c r="BB779" s="145"/>
      <c r="BC779" s="145"/>
      <c r="BD779" s="145"/>
      <c r="BE779" s="145"/>
      <c r="BF779" s="145"/>
      <c r="BG779" s="145"/>
      <c r="BH779" s="145"/>
      <c r="BI779" s="145"/>
      <c r="BJ779" s="145"/>
      <c r="BK779" s="145"/>
    </row>
    <row r="780" spans="1:63" s="147" customFormat="1" ht="15" x14ac:dyDescent="0.25">
      <c r="A780" s="52"/>
      <c r="B780" s="53" t="s">
        <v>58</v>
      </c>
      <c r="C780" s="104" t="s">
        <v>59</v>
      </c>
      <c r="D780" s="104"/>
      <c r="E780" s="104"/>
      <c r="F780" s="104"/>
      <c r="G780" s="104"/>
      <c r="H780" s="54" t="s">
        <v>60</v>
      </c>
      <c r="I780" s="58">
        <v>100</v>
      </c>
      <c r="J780" s="55"/>
      <c r="K780" s="58">
        <v>100</v>
      </c>
      <c r="L780" s="56"/>
      <c r="M780" s="55"/>
      <c r="N780" s="56"/>
      <c r="O780" s="55"/>
      <c r="P780" s="77">
        <v>3212.3754999999996</v>
      </c>
      <c r="Q780" s="82"/>
      <c r="R780" s="82"/>
      <c r="S780" s="82"/>
      <c r="T780" s="82"/>
      <c r="U780" s="163"/>
      <c r="V780" s="82"/>
      <c r="W780" s="160"/>
      <c r="X780" s="82"/>
      <c r="Y780" s="82"/>
      <c r="Z780" s="82"/>
      <c r="AA780" s="82"/>
      <c r="AB780" s="145"/>
      <c r="AC780" s="145"/>
      <c r="AD780" s="145"/>
      <c r="AE780" s="145"/>
      <c r="AF780" s="145"/>
      <c r="AG780" s="145"/>
      <c r="AH780" s="145"/>
      <c r="AI780" s="145"/>
      <c r="AJ780" s="145"/>
      <c r="AK780" s="145"/>
      <c r="AL780" s="145"/>
      <c r="AM780" s="145"/>
      <c r="AN780" s="145"/>
      <c r="AO780" s="145"/>
      <c r="AP780" s="145"/>
      <c r="AQ780" s="145"/>
      <c r="AR780" s="145"/>
      <c r="AS780" s="145"/>
      <c r="AT780" s="145"/>
      <c r="AU780" s="145"/>
      <c r="AV780" s="146"/>
      <c r="AW780" s="146"/>
      <c r="AX780" s="146"/>
      <c r="AY780" s="146"/>
      <c r="AZ780" s="145"/>
      <c r="BA780" s="145"/>
      <c r="BB780" s="145"/>
      <c r="BC780" s="145"/>
      <c r="BD780" s="145"/>
      <c r="BE780" s="145"/>
      <c r="BF780" s="145"/>
      <c r="BG780" s="145"/>
      <c r="BH780" s="145"/>
      <c r="BI780" s="145"/>
      <c r="BJ780" s="145"/>
      <c r="BK780" s="145"/>
    </row>
    <row r="781" spans="1:63" s="147" customFormat="1" ht="15" x14ac:dyDescent="0.25">
      <c r="A781" s="52"/>
      <c r="B781" s="53" t="s">
        <v>61</v>
      </c>
      <c r="C781" s="104" t="s">
        <v>62</v>
      </c>
      <c r="D781" s="104"/>
      <c r="E781" s="104"/>
      <c r="F781" s="104"/>
      <c r="G781" s="104"/>
      <c r="H781" s="54" t="s">
        <v>60</v>
      </c>
      <c r="I781" s="58">
        <v>49</v>
      </c>
      <c r="J781" s="55"/>
      <c r="K781" s="58">
        <v>49</v>
      </c>
      <c r="L781" s="56"/>
      <c r="M781" s="55"/>
      <c r="N781" s="56"/>
      <c r="O781" s="55"/>
      <c r="P781" s="77">
        <v>1574.0624999999998</v>
      </c>
      <c r="Q781" s="82"/>
      <c r="R781" s="82"/>
      <c r="S781" s="82"/>
      <c r="T781" s="165"/>
      <c r="U781" s="163"/>
      <c r="V781" s="82"/>
      <c r="W781" s="164"/>
      <c r="X781" s="82"/>
      <c r="Y781" s="82"/>
      <c r="Z781" s="82"/>
      <c r="AA781" s="82"/>
      <c r="AB781" s="145"/>
      <c r="AC781" s="145"/>
      <c r="AD781" s="145"/>
      <c r="AE781" s="145"/>
      <c r="AF781" s="145"/>
      <c r="AG781" s="145"/>
      <c r="AH781" s="145"/>
      <c r="AI781" s="145"/>
      <c r="AJ781" s="145"/>
      <c r="AK781" s="145"/>
      <c r="AL781" s="145"/>
      <c r="AM781" s="145"/>
      <c r="AN781" s="145"/>
      <c r="AO781" s="145"/>
      <c r="AP781" s="145"/>
      <c r="AQ781" s="145"/>
      <c r="AR781" s="145"/>
      <c r="AS781" s="145"/>
      <c r="AT781" s="145"/>
      <c r="AU781" s="145"/>
      <c r="AV781" s="146"/>
      <c r="AW781" s="146"/>
      <c r="AX781" s="146"/>
      <c r="AY781" s="146"/>
      <c r="AZ781" s="145"/>
      <c r="BA781" s="145"/>
      <c r="BB781" s="145"/>
      <c r="BC781" s="145"/>
      <c r="BD781" s="145"/>
      <c r="BE781" s="145"/>
      <c r="BF781" s="145"/>
      <c r="BG781" s="145"/>
      <c r="BH781" s="145"/>
      <c r="BI781" s="145"/>
      <c r="BJ781" s="145"/>
      <c r="BK781" s="145"/>
    </row>
    <row r="782" spans="1:63" s="147" customFormat="1" ht="15" x14ac:dyDescent="0.25">
      <c r="A782" s="59"/>
      <c r="B782" s="98"/>
      <c r="C782" s="102" t="s">
        <v>63</v>
      </c>
      <c r="D782" s="102"/>
      <c r="E782" s="102"/>
      <c r="F782" s="102"/>
      <c r="G782" s="102"/>
      <c r="H782" s="41"/>
      <c r="I782" s="42"/>
      <c r="J782" s="42"/>
      <c r="K782" s="42"/>
      <c r="L782" s="45"/>
      <c r="M782" s="42"/>
      <c r="N782" s="49">
        <v>64479.71</v>
      </c>
      <c r="O782" s="42"/>
      <c r="P782" s="91">
        <v>8697.9904999999999</v>
      </c>
      <c r="Q782" s="82"/>
      <c r="R782" s="82"/>
      <c r="S782" s="82"/>
      <c r="T782" s="82"/>
      <c r="U782" s="156"/>
      <c r="V782" s="82"/>
      <c r="W782" s="151"/>
      <c r="X782" s="82"/>
      <c r="Y782" s="82"/>
      <c r="Z782" s="82"/>
      <c r="AA782" s="82"/>
      <c r="AB782" s="145"/>
      <c r="AC782" s="145"/>
      <c r="AD782" s="145"/>
      <c r="AE782" s="145"/>
      <c r="AF782" s="145"/>
      <c r="AG782" s="145"/>
      <c r="AH782" s="145"/>
      <c r="AI782" s="145"/>
      <c r="AJ782" s="145"/>
      <c r="AK782" s="145"/>
      <c r="AL782" s="145"/>
      <c r="AM782" s="145"/>
      <c r="AN782" s="145"/>
      <c r="AO782" s="145"/>
      <c r="AP782" s="145"/>
      <c r="AQ782" s="145"/>
      <c r="AR782" s="145"/>
      <c r="AS782" s="145"/>
      <c r="AT782" s="145"/>
      <c r="AU782" s="145"/>
      <c r="AV782" s="146"/>
      <c r="AW782" s="146"/>
      <c r="AX782" s="146"/>
      <c r="AY782" s="146"/>
      <c r="AZ782" s="145"/>
      <c r="BA782" s="146"/>
      <c r="BB782" s="145"/>
      <c r="BC782" s="145"/>
      <c r="BD782" s="145"/>
      <c r="BE782" s="145"/>
      <c r="BF782" s="145"/>
      <c r="BG782" s="145"/>
      <c r="BH782" s="145"/>
      <c r="BI782" s="145"/>
      <c r="BJ782" s="145"/>
      <c r="BK782" s="145"/>
    </row>
    <row r="783" spans="1:63" s="147" customFormat="1" ht="15" x14ac:dyDescent="0.25">
      <c r="A783" s="39" t="s">
        <v>708</v>
      </c>
      <c r="B783" s="97" t="s">
        <v>65</v>
      </c>
      <c r="C783" s="103" t="s">
        <v>66</v>
      </c>
      <c r="D783" s="103"/>
      <c r="E783" s="103"/>
      <c r="F783" s="103"/>
      <c r="G783" s="103"/>
      <c r="H783" s="41" t="s">
        <v>67</v>
      </c>
      <c r="I783" s="42">
        <v>6.5805999999999996</v>
      </c>
      <c r="J783" s="43">
        <v>1</v>
      </c>
      <c r="K783" s="44">
        <v>6.5805999999999996</v>
      </c>
      <c r="L783" s="61">
        <v>68.290000000000006</v>
      </c>
      <c r="M783" s="62">
        <v>1.72</v>
      </c>
      <c r="N783" s="61">
        <v>117.46</v>
      </c>
      <c r="O783" s="42"/>
      <c r="P783" s="50">
        <v>888.90885561497316</v>
      </c>
      <c r="Q783" s="82"/>
      <c r="R783" s="82"/>
      <c r="S783" s="82"/>
      <c r="T783" s="165"/>
      <c r="U783" s="167"/>
      <c r="V783" s="82"/>
      <c r="W783" s="151"/>
      <c r="X783" s="82"/>
      <c r="Y783" s="82"/>
      <c r="Z783" s="82"/>
      <c r="AA783" s="82"/>
      <c r="AB783" s="145"/>
      <c r="AC783" s="145"/>
      <c r="AD783" s="145"/>
      <c r="AE783" s="145"/>
      <c r="AF783" s="145"/>
      <c r="AG783" s="145"/>
      <c r="AH783" s="145"/>
      <c r="AI783" s="145"/>
      <c r="AJ783" s="145"/>
      <c r="AK783" s="145"/>
      <c r="AL783" s="145"/>
      <c r="AM783" s="145"/>
      <c r="AN783" s="145"/>
      <c r="AO783" s="145"/>
      <c r="AP783" s="145"/>
      <c r="AQ783" s="145"/>
      <c r="AR783" s="145"/>
      <c r="AS783" s="145"/>
      <c r="AT783" s="145"/>
      <c r="AU783" s="145"/>
      <c r="AV783" s="146"/>
      <c r="AW783" s="146"/>
      <c r="AX783" s="146"/>
      <c r="AY783" s="146"/>
      <c r="AZ783" s="145"/>
      <c r="BA783" s="146"/>
      <c r="BB783" s="145"/>
      <c r="BC783" s="145"/>
      <c r="BD783" s="145"/>
      <c r="BE783" s="145"/>
      <c r="BF783" s="145"/>
      <c r="BG783" s="145"/>
      <c r="BH783" s="145"/>
      <c r="BI783" s="145"/>
      <c r="BJ783" s="145"/>
      <c r="BK783" s="145"/>
    </row>
    <row r="784" spans="1:63" s="147" customFormat="1" ht="15" x14ac:dyDescent="0.25">
      <c r="A784" s="59"/>
      <c r="B784" s="98"/>
      <c r="C784" s="102" t="s">
        <v>63</v>
      </c>
      <c r="D784" s="102"/>
      <c r="E784" s="102"/>
      <c r="F784" s="102"/>
      <c r="G784" s="102"/>
      <c r="H784" s="41"/>
      <c r="I784" s="42"/>
      <c r="J784" s="42"/>
      <c r="K784" s="42"/>
      <c r="L784" s="45"/>
      <c r="M784" s="42"/>
      <c r="N784" s="45"/>
      <c r="O784" s="42"/>
      <c r="P784" s="50">
        <v>888.90885561497316</v>
      </c>
      <c r="Q784" s="82"/>
      <c r="R784" s="82"/>
      <c r="S784" s="82"/>
      <c r="T784" s="165"/>
      <c r="U784" s="167"/>
      <c r="V784" s="82"/>
      <c r="W784" s="166"/>
      <c r="X784" s="82"/>
      <c r="Y784" s="82"/>
      <c r="Z784" s="82"/>
      <c r="AA784" s="82"/>
      <c r="AB784" s="145"/>
      <c r="AC784" s="145"/>
      <c r="AD784" s="145"/>
      <c r="AE784" s="145"/>
      <c r="AF784" s="145"/>
      <c r="AG784" s="145"/>
      <c r="AH784" s="145"/>
      <c r="AI784" s="145"/>
      <c r="AJ784" s="145"/>
      <c r="AK784" s="145"/>
      <c r="AL784" s="145"/>
      <c r="AM784" s="145"/>
      <c r="AN784" s="145"/>
      <c r="AO784" s="145"/>
      <c r="AP784" s="145"/>
      <c r="AQ784" s="145"/>
      <c r="AR784" s="145"/>
      <c r="AS784" s="145"/>
      <c r="AT784" s="145"/>
      <c r="AU784" s="145"/>
      <c r="AV784" s="146"/>
      <c r="AW784" s="146"/>
      <c r="AX784" s="146"/>
      <c r="AY784" s="146"/>
      <c r="AZ784" s="145"/>
      <c r="BA784" s="146"/>
      <c r="BB784" s="145"/>
      <c r="BC784" s="145"/>
      <c r="BD784" s="145"/>
      <c r="BE784" s="145"/>
      <c r="BF784" s="145"/>
      <c r="BG784" s="145"/>
      <c r="BH784" s="145"/>
      <c r="BI784" s="145"/>
      <c r="BJ784" s="145"/>
      <c r="BK784" s="145"/>
    </row>
    <row r="785" spans="1:63" s="147" customFormat="1" ht="15" x14ac:dyDescent="0.25">
      <c r="A785" s="39" t="s">
        <v>709</v>
      </c>
      <c r="B785" s="97" t="s">
        <v>69</v>
      </c>
      <c r="C785" s="103" t="s">
        <v>70</v>
      </c>
      <c r="D785" s="103"/>
      <c r="E785" s="103"/>
      <c r="F785" s="103"/>
      <c r="G785" s="103"/>
      <c r="H785" s="41" t="s">
        <v>71</v>
      </c>
      <c r="I785" s="42">
        <v>3.8709E-3</v>
      </c>
      <c r="J785" s="43">
        <v>1</v>
      </c>
      <c r="K785" s="64">
        <v>3.8709E-3</v>
      </c>
      <c r="L785" s="49">
        <v>52265.82</v>
      </c>
      <c r="M785" s="62">
        <v>1.81</v>
      </c>
      <c r="N785" s="49">
        <v>94601.13</v>
      </c>
      <c r="O785" s="42"/>
      <c r="P785" s="50">
        <v>421.11849999999998</v>
      </c>
      <c r="Q785" s="82"/>
      <c r="R785" s="82"/>
      <c r="S785" s="82"/>
      <c r="T785" s="165"/>
      <c r="U785" s="167"/>
      <c r="V785" s="82"/>
      <c r="W785" s="151"/>
      <c r="X785" s="82"/>
      <c r="Y785" s="82"/>
      <c r="Z785" s="82"/>
      <c r="AA785" s="82"/>
      <c r="AB785" s="145"/>
      <c r="AC785" s="145"/>
      <c r="AD785" s="145"/>
      <c r="AE785" s="145"/>
      <c r="AF785" s="145"/>
      <c r="AG785" s="145"/>
      <c r="AH785" s="145"/>
      <c r="AI785" s="145"/>
      <c r="AJ785" s="145"/>
      <c r="AK785" s="145"/>
      <c r="AL785" s="145"/>
      <c r="AM785" s="145"/>
      <c r="AN785" s="145"/>
      <c r="AO785" s="145"/>
      <c r="AP785" s="145"/>
      <c r="AQ785" s="145"/>
      <c r="AR785" s="145"/>
      <c r="AS785" s="145"/>
      <c r="AT785" s="145"/>
      <c r="AU785" s="145"/>
      <c r="AV785" s="146"/>
      <c r="AW785" s="146"/>
      <c r="AX785" s="146"/>
      <c r="AY785" s="146"/>
      <c r="AZ785" s="145"/>
      <c r="BA785" s="146"/>
      <c r="BB785" s="145"/>
      <c r="BC785" s="145"/>
      <c r="BD785" s="145"/>
      <c r="BE785" s="145"/>
      <c r="BF785" s="145"/>
      <c r="BG785" s="145"/>
      <c r="BH785" s="145"/>
      <c r="BI785" s="145"/>
      <c r="BJ785" s="145"/>
      <c r="BK785" s="145"/>
    </row>
    <row r="786" spans="1:63" s="147" customFormat="1" ht="15" x14ac:dyDescent="0.25">
      <c r="A786" s="59"/>
      <c r="B786" s="98"/>
      <c r="C786" s="102" t="s">
        <v>63</v>
      </c>
      <c r="D786" s="102"/>
      <c r="E786" s="102"/>
      <c r="F786" s="102"/>
      <c r="G786" s="102"/>
      <c r="H786" s="41"/>
      <c r="I786" s="42"/>
      <c r="J786" s="42"/>
      <c r="K786" s="42"/>
      <c r="L786" s="45"/>
      <c r="M786" s="42"/>
      <c r="N786" s="45"/>
      <c r="O786" s="42"/>
      <c r="P786" s="50">
        <v>421.11849999999998</v>
      </c>
      <c r="Q786" s="82"/>
      <c r="R786" s="82"/>
      <c r="S786" s="82"/>
      <c r="T786" s="165"/>
      <c r="U786" s="167"/>
      <c r="V786" s="82"/>
      <c r="W786" s="169"/>
      <c r="X786" s="82"/>
      <c r="Y786" s="82"/>
      <c r="Z786" s="82"/>
      <c r="AA786" s="82"/>
      <c r="AB786" s="145"/>
      <c r="AC786" s="145"/>
      <c r="AD786" s="145"/>
      <c r="AE786" s="145"/>
      <c r="AF786" s="145"/>
      <c r="AG786" s="145"/>
      <c r="AH786" s="145"/>
      <c r="AI786" s="145"/>
      <c r="AJ786" s="145"/>
      <c r="AK786" s="145"/>
      <c r="AL786" s="145"/>
      <c r="AM786" s="145"/>
      <c r="AN786" s="145"/>
      <c r="AO786" s="145"/>
      <c r="AP786" s="145"/>
      <c r="AQ786" s="145"/>
      <c r="AR786" s="145"/>
      <c r="AS786" s="145"/>
      <c r="AT786" s="145"/>
      <c r="AU786" s="145"/>
      <c r="AV786" s="146"/>
      <c r="AW786" s="146"/>
      <c r="AX786" s="146"/>
      <c r="AY786" s="146"/>
      <c r="AZ786" s="145"/>
      <c r="BA786" s="146"/>
      <c r="BB786" s="145"/>
      <c r="BC786" s="145"/>
      <c r="BD786" s="145"/>
      <c r="BE786" s="145"/>
      <c r="BF786" s="145"/>
      <c r="BG786" s="145"/>
      <c r="BH786" s="145"/>
      <c r="BI786" s="145"/>
      <c r="BJ786" s="145"/>
      <c r="BK786" s="145"/>
    </row>
    <row r="787" spans="1:63" s="147" customFormat="1" ht="15" x14ac:dyDescent="0.25">
      <c r="A787" s="39" t="s">
        <v>710</v>
      </c>
      <c r="B787" s="97" t="s">
        <v>73</v>
      </c>
      <c r="C787" s="103" t="s">
        <v>74</v>
      </c>
      <c r="D787" s="103"/>
      <c r="E787" s="103"/>
      <c r="F787" s="103"/>
      <c r="G787" s="103"/>
      <c r="H787" s="41" t="s">
        <v>75</v>
      </c>
      <c r="I787" s="42">
        <v>0.02</v>
      </c>
      <c r="J787" s="43">
        <v>1</v>
      </c>
      <c r="K787" s="62">
        <v>0.02</v>
      </c>
      <c r="L787" s="45"/>
      <c r="M787" s="42"/>
      <c r="N787" s="45"/>
      <c r="O787" s="42"/>
      <c r="P787" s="50">
        <v>0</v>
      </c>
      <c r="Q787" s="82"/>
      <c r="R787" s="82"/>
      <c r="S787" s="82"/>
      <c r="T787" s="165"/>
      <c r="U787" s="153"/>
      <c r="V787" s="82"/>
      <c r="W787" s="151"/>
      <c r="X787" s="82"/>
      <c r="Y787" s="82"/>
      <c r="Z787" s="82"/>
      <c r="AA787" s="82"/>
      <c r="AB787" s="145"/>
      <c r="AC787" s="145"/>
      <c r="AD787" s="145"/>
      <c r="AE787" s="145"/>
      <c r="AF787" s="145"/>
      <c r="AG787" s="145"/>
      <c r="AH787" s="145"/>
      <c r="AI787" s="145"/>
      <c r="AJ787" s="145"/>
      <c r="AK787" s="145"/>
      <c r="AL787" s="145"/>
      <c r="AM787" s="145"/>
      <c r="AN787" s="145"/>
      <c r="AO787" s="145"/>
      <c r="AP787" s="145"/>
      <c r="AQ787" s="145"/>
      <c r="AR787" s="145"/>
      <c r="AS787" s="145"/>
      <c r="AT787" s="145"/>
      <c r="AU787" s="145"/>
      <c r="AV787" s="146"/>
      <c r="AW787" s="146"/>
      <c r="AX787" s="146"/>
      <c r="AY787" s="146"/>
      <c r="AZ787" s="145"/>
      <c r="BA787" s="146"/>
      <c r="BB787" s="145"/>
      <c r="BC787" s="145"/>
      <c r="BD787" s="145"/>
      <c r="BE787" s="145"/>
      <c r="BF787" s="145"/>
      <c r="BG787" s="145"/>
      <c r="BH787" s="145"/>
      <c r="BI787" s="145"/>
      <c r="BJ787" s="145"/>
      <c r="BK787" s="145"/>
    </row>
    <row r="788" spans="1:63" s="147" customFormat="1" ht="15" x14ac:dyDescent="0.25">
      <c r="A788" s="47"/>
      <c r="B788" s="48"/>
      <c r="C788" s="102" t="s">
        <v>56</v>
      </c>
      <c r="D788" s="102"/>
      <c r="E788" s="102"/>
      <c r="F788" s="102"/>
      <c r="G788" s="102"/>
      <c r="H788" s="41"/>
      <c r="I788" s="42"/>
      <c r="J788" s="42"/>
      <c r="K788" s="42"/>
      <c r="L788" s="45"/>
      <c r="M788" s="42"/>
      <c r="N788" s="49"/>
      <c r="O788" s="42"/>
      <c r="P788" s="50">
        <v>1555.3405</v>
      </c>
      <c r="Q788" s="157"/>
      <c r="R788" s="157"/>
      <c r="S788" s="82"/>
      <c r="T788" s="165"/>
      <c r="U788" s="156"/>
      <c r="V788" s="82"/>
      <c r="W788" s="168"/>
      <c r="X788" s="82"/>
      <c r="Y788" s="82"/>
      <c r="Z788" s="82"/>
      <c r="AA788" s="82"/>
      <c r="AB788" s="145"/>
      <c r="AC788" s="145"/>
      <c r="AD788" s="145"/>
      <c r="AE788" s="145"/>
      <c r="AF788" s="145"/>
      <c r="AG788" s="145"/>
      <c r="AH788" s="145"/>
      <c r="AI788" s="145"/>
      <c r="AJ788" s="145"/>
      <c r="AK788" s="145"/>
      <c r="AL788" s="145"/>
      <c r="AM788" s="145"/>
      <c r="AN788" s="145"/>
      <c r="AO788" s="145"/>
      <c r="AP788" s="145"/>
      <c r="AQ788" s="145"/>
      <c r="AR788" s="145"/>
      <c r="AS788" s="145"/>
      <c r="AT788" s="145"/>
      <c r="AU788" s="145"/>
      <c r="AV788" s="146"/>
      <c r="AW788" s="146"/>
      <c r="AX788" s="146"/>
      <c r="AY788" s="146"/>
      <c r="AZ788" s="145"/>
      <c r="BA788" s="146"/>
      <c r="BB788" s="145"/>
      <c r="BC788" s="145"/>
      <c r="BD788" s="145"/>
      <c r="BE788" s="145"/>
      <c r="BF788" s="145"/>
      <c r="BG788" s="145"/>
      <c r="BH788" s="145"/>
      <c r="BI788" s="145"/>
      <c r="BJ788" s="145"/>
      <c r="BK788" s="145"/>
    </row>
    <row r="789" spans="1:63" s="147" customFormat="1" ht="15" x14ac:dyDescent="0.25">
      <c r="A789" s="52"/>
      <c r="B789" s="53"/>
      <c r="C789" s="104" t="s">
        <v>57</v>
      </c>
      <c r="D789" s="104"/>
      <c r="E789" s="104"/>
      <c r="F789" s="104"/>
      <c r="G789" s="104"/>
      <c r="H789" s="54"/>
      <c r="I789" s="55"/>
      <c r="J789" s="55"/>
      <c r="K789" s="55"/>
      <c r="L789" s="56"/>
      <c r="M789" s="55"/>
      <c r="N789" s="56"/>
      <c r="O789" s="55"/>
      <c r="P789" s="77">
        <v>1555.2484999999999</v>
      </c>
      <c r="Q789" s="82"/>
      <c r="R789" s="82"/>
      <c r="S789" s="82"/>
      <c r="T789" s="165"/>
      <c r="U789" s="163"/>
      <c r="V789" s="82"/>
      <c r="W789" s="151"/>
      <c r="X789" s="82"/>
      <c r="Y789" s="82"/>
      <c r="Z789" s="82"/>
      <c r="AA789" s="82"/>
      <c r="AB789" s="145"/>
      <c r="AC789" s="145"/>
      <c r="AD789" s="145"/>
      <c r="AE789" s="145"/>
      <c r="AF789" s="145"/>
      <c r="AG789" s="145"/>
      <c r="AH789" s="145"/>
      <c r="AI789" s="145"/>
      <c r="AJ789" s="145"/>
      <c r="AK789" s="145"/>
      <c r="AL789" s="145"/>
      <c r="AM789" s="145"/>
      <c r="AN789" s="145"/>
      <c r="AO789" s="145"/>
      <c r="AP789" s="145"/>
      <c r="AQ789" s="145"/>
      <c r="AR789" s="145"/>
      <c r="AS789" s="145"/>
      <c r="AT789" s="145"/>
      <c r="AU789" s="145"/>
      <c r="AV789" s="146"/>
      <c r="AW789" s="146"/>
      <c r="AX789" s="146"/>
      <c r="AY789" s="146"/>
      <c r="AZ789" s="145"/>
      <c r="BA789" s="146"/>
      <c r="BB789" s="145"/>
      <c r="BC789" s="145"/>
      <c r="BD789" s="145"/>
      <c r="BE789" s="145"/>
      <c r="BF789" s="145"/>
      <c r="BG789" s="145"/>
      <c r="BH789" s="145"/>
      <c r="BI789" s="145"/>
      <c r="BJ789" s="145"/>
      <c r="BK789" s="145"/>
    </row>
    <row r="790" spans="1:63" s="147" customFormat="1" ht="15" x14ac:dyDescent="0.25">
      <c r="A790" s="52"/>
      <c r="B790" s="53" t="s">
        <v>76</v>
      </c>
      <c r="C790" s="104" t="s">
        <v>77</v>
      </c>
      <c r="D790" s="104"/>
      <c r="E790" s="104"/>
      <c r="F790" s="104"/>
      <c r="G790" s="104"/>
      <c r="H790" s="54" t="s">
        <v>60</v>
      </c>
      <c r="I790" s="58">
        <v>91</v>
      </c>
      <c r="J790" s="55"/>
      <c r="K790" s="58">
        <v>91</v>
      </c>
      <c r="L790" s="56"/>
      <c r="M790" s="55"/>
      <c r="N790" s="56"/>
      <c r="O790" s="55"/>
      <c r="P790" s="77">
        <v>1415.2705000000001</v>
      </c>
      <c r="Q790" s="82"/>
      <c r="R790" s="82"/>
      <c r="S790" s="82"/>
      <c r="T790" s="165"/>
      <c r="U790" s="163"/>
      <c r="V790" s="82"/>
      <c r="W790" s="160"/>
      <c r="X790" s="82"/>
      <c r="Y790" s="82"/>
      <c r="Z790" s="82"/>
      <c r="AA790" s="82"/>
      <c r="AB790" s="145"/>
      <c r="AC790" s="145"/>
      <c r="AD790" s="145"/>
      <c r="AE790" s="145"/>
      <c r="AF790" s="145"/>
      <c r="AG790" s="145"/>
      <c r="AH790" s="145"/>
      <c r="AI790" s="145"/>
      <c r="AJ790" s="145"/>
      <c r="AK790" s="145"/>
      <c r="AL790" s="145"/>
      <c r="AM790" s="145"/>
      <c r="AN790" s="145"/>
      <c r="AO790" s="145"/>
      <c r="AP790" s="145"/>
      <c r="AQ790" s="145"/>
      <c r="AR790" s="145"/>
      <c r="AS790" s="145"/>
      <c r="AT790" s="145"/>
      <c r="AU790" s="145"/>
      <c r="AV790" s="146"/>
      <c r="AW790" s="146"/>
      <c r="AX790" s="146"/>
      <c r="AY790" s="146"/>
      <c r="AZ790" s="145"/>
      <c r="BA790" s="146"/>
      <c r="BB790" s="145"/>
      <c r="BC790" s="145"/>
      <c r="BD790" s="145"/>
      <c r="BE790" s="145"/>
      <c r="BF790" s="145"/>
      <c r="BG790" s="145"/>
      <c r="BH790" s="145"/>
      <c r="BI790" s="145"/>
      <c r="BJ790" s="145"/>
      <c r="BK790" s="145"/>
    </row>
    <row r="791" spans="1:63" s="147" customFormat="1" ht="15" x14ac:dyDescent="0.25">
      <c r="A791" s="52"/>
      <c r="B791" s="53" t="s">
        <v>78</v>
      </c>
      <c r="C791" s="104" t="s">
        <v>79</v>
      </c>
      <c r="D791" s="104"/>
      <c r="E791" s="104"/>
      <c r="F791" s="104"/>
      <c r="G791" s="104"/>
      <c r="H791" s="54" t="s">
        <v>60</v>
      </c>
      <c r="I791" s="58">
        <v>48</v>
      </c>
      <c r="J791" s="55"/>
      <c r="K791" s="58">
        <v>48</v>
      </c>
      <c r="L791" s="56"/>
      <c r="M791" s="55"/>
      <c r="N791" s="56"/>
      <c r="O791" s="55"/>
      <c r="P791" s="77">
        <v>746.52249999999992</v>
      </c>
      <c r="Q791" s="82"/>
      <c r="R791" s="82"/>
      <c r="S791" s="82"/>
      <c r="T791" s="165"/>
      <c r="U791" s="170"/>
      <c r="V791" s="82"/>
      <c r="W791" s="164"/>
      <c r="X791" s="82"/>
      <c r="Y791" s="82"/>
      <c r="Z791" s="82"/>
      <c r="AA791" s="82"/>
      <c r="AB791" s="145"/>
      <c r="AC791" s="145"/>
      <c r="AD791" s="145"/>
      <c r="AE791" s="145"/>
      <c r="AF791" s="145"/>
      <c r="AG791" s="145"/>
      <c r="AH791" s="145"/>
      <c r="AI791" s="145"/>
      <c r="AJ791" s="145"/>
      <c r="AK791" s="145"/>
      <c r="AL791" s="145"/>
      <c r="AM791" s="145"/>
      <c r="AN791" s="145"/>
      <c r="AO791" s="145"/>
      <c r="AP791" s="145"/>
      <c r="AQ791" s="145"/>
      <c r="AR791" s="145"/>
      <c r="AS791" s="145"/>
      <c r="AT791" s="145"/>
      <c r="AU791" s="145"/>
      <c r="AV791" s="146"/>
      <c r="AW791" s="146"/>
      <c r="AX791" s="146"/>
      <c r="AY791" s="146"/>
      <c r="AZ791" s="145"/>
      <c r="BA791" s="146"/>
      <c r="BB791" s="145"/>
      <c r="BC791" s="145"/>
      <c r="BD791" s="145"/>
      <c r="BE791" s="145"/>
      <c r="BF791" s="145"/>
      <c r="BG791" s="145"/>
      <c r="BH791" s="145"/>
      <c r="BI791" s="145"/>
      <c r="BJ791" s="145"/>
      <c r="BK791" s="145"/>
    </row>
    <row r="792" spans="1:63" s="147" customFormat="1" ht="15" x14ac:dyDescent="0.25">
      <c r="A792" s="59"/>
      <c r="B792" s="98"/>
      <c r="C792" s="102" t="s">
        <v>63</v>
      </c>
      <c r="D792" s="102"/>
      <c r="E792" s="102"/>
      <c r="F792" s="102"/>
      <c r="G792" s="102"/>
      <c r="H792" s="41"/>
      <c r="I792" s="42"/>
      <c r="J792" s="42"/>
      <c r="K792" s="42"/>
      <c r="L792" s="45"/>
      <c r="M792" s="42"/>
      <c r="N792" s="49">
        <v>161614.5</v>
      </c>
      <c r="O792" s="42"/>
      <c r="P792" s="50">
        <v>3717.1334999999995</v>
      </c>
      <c r="Q792" s="82"/>
      <c r="R792" s="82"/>
      <c r="S792" s="82"/>
      <c r="T792" s="165"/>
      <c r="U792" s="156"/>
      <c r="V792" s="82"/>
      <c r="W792" s="164"/>
      <c r="X792" s="82"/>
      <c r="Y792" s="82"/>
      <c r="Z792" s="82"/>
      <c r="AA792" s="82"/>
      <c r="AB792" s="145"/>
      <c r="AC792" s="145"/>
      <c r="AD792" s="145"/>
      <c r="AE792" s="145"/>
      <c r="AF792" s="145"/>
      <c r="AG792" s="145"/>
      <c r="AH792" s="145"/>
      <c r="AI792" s="145"/>
      <c r="AJ792" s="145"/>
      <c r="AK792" s="145"/>
      <c r="AL792" s="145"/>
      <c r="AM792" s="145"/>
      <c r="AN792" s="145"/>
      <c r="AO792" s="145"/>
      <c r="AP792" s="145"/>
      <c r="AQ792" s="145"/>
      <c r="AR792" s="145"/>
      <c r="AS792" s="145"/>
      <c r="AT792" s="145"/>
      <c r="AU792" s="145"/>
      <c r="AV792" s="146"/>
      <c r="AW792" s="146"/>
      <c r="AX792" s="146"/>
      <c r="AY792" s="146"/>
      <c r="AZ792" s="145"/>
      <c r="BA792" s="146"/>
      <c r="BB792" s="145"/>
      <c r="BC792" s="145"/>
      <c r="BD792" s="145"/>
      <c r="BE792" s="145"/>
      <c r="BF792" s="145"/>
      <c r="BG792" s="145"/>
      <c r="BH792" s="145"/>
      <c r="BI792" s="145"/>
      <c r="BJ792" s="145"/>
      <c r="BK792" s="145"/>
    </row>
    <row r="793" spans="1:63" s="147" customFormat="1" ht="15" x14ac:dyDescent="0.25">
      <c r="A793" s="39" t="s">
        <v>565</v>
      </c>
      <c r="B793" s="97" t="s">
        <v>81</v>
      </c>
      <c r="C793" s="103" t="s">
        <v>82</v>
      </c>
      <c r="D793" s="103"/>
      <c r="E793" s="103"/>
      <c r="F793" s="103"/>
      <c r="G793" s="103"/>
      <c r="H793" s="41" t="s">
        <v>83</v>
      </c>
      <c r="I793" s="42">
        <v>2</v>
      </c>
      <c r="J793" s="43">
        <v>1</v>
      </c>
      <c r="K793" s="43">
        <v>2</v>
      </c>
      <c r="L793" s="49">
        <v>3579.75</v>
      </c>
      <c r="M793" s="62">
        <v>1.41</v>
      </c>
      <c r="N793" s="49">
        <v>5047.45</v>
      </c>
      <c r="O793" s="42"/>
      <c r="P793" s="50">
        <v>11609.134999999998</v>
      </c>
      <c r="Q793" s="82"/>
      <c r="R793" s="82"/>
      <c r="S793" s="82"/>
      <c r="T793" s="82"/>
      <c r="U793" s="156"/>
      <c r="V793" s="82"/>
      <c r="W793" s="151"/>
      <c r="X793" s="82"/>
      <c r="Y793" s="82"/>
      <c r="Z793" s="82"/>
      <c r="AA793" s="82"/>
      <c r="AB793" s="145"/>
      <c r="AC793" s="145"/>
      <c r="AD793" s="145"/>
      <c r="AE793" s="145"/>
      <c r="AF793" s="145"/>
      <c r="AG793" s="145"/>
      <c r="AH793" s="145"/>
      <c r="AI793" s="145"/>
      <c r="AJ793" s="145"/>
      <c r="AK793" s="145"/>
      <c r="AL793" s="145"/>
      <c r="AM793" s="145"/>
      <c r="AN793" s="145"/>
      <c r="AO793" s="145"/>
      <c r="AP793" s="145"/>
      <c r="AQ793" s="145"/>
      <c r="AR793" s="145"/>
      <c r="AS793" s="145"/>
      <c r="AT793" s="145"/>
      <c r="AU793" s="145"/>
      <c r="AV793" s="146"/>
      <c r="AW793" s="146"/>
      <c r="AX793" s="146"/>
      <c r="AY793" s="146"/>
      <c r="AZ793" s="145"/>
      <c r="BA793" s="146"/>
      <c r="BB793" s="145"/>
      <c r="BC793" s="145"/>
      <c r="BD793" s="145"/>
      <c r="BE793" s="145"/>
      <c r="BF793" s="145"/>
      <c r="BG793" s="145"/>
      <c r="BH793" s="145"/>
      <c r="BI793" s="145"/>
      <c r="BJ793" s="145"/>
      <c r="BK793" s="145"/>
    </row>
    <row r="794" spans="1:63" s="147" customFormat="1" ht="15" x14ac:dyDescent="0.25">
      <c r="A794" s="59"/>
      <c r="B794" s="98"/>
      <c r="C794" s="102" t="s">
        <v>63</v>
      </c>
      <c r="D794" s="102"/>
      <c r="E794" s="102"/>
      <c r="F794" s="102"/>
      <c r="G794" s="102"/>
      <c r="H794" s="41"/>
      <c r="I794" s="42"/>
      <c r="J794" s="42"/>
      <c r="K794" s="42"/>
      <c r="L794" s="45"/>
      <c r="M794" s="42"/>
      <c r="N794" s="45"/>
      <c r="O794" s="42"/>
      <c r="P794" s="50">
        <v>11609.134999999998</v>
      </c>
      <c r="Q794" s="82"/>
      <c r="R794" s="82"/>
      <c r="S794" s="82"/>
      <c r="T794" s="82"/>
      <c r="U794" s="156"/>
      <c r="V794" s="82"/>
      <c r="W794" s="152"/>
      <c r="X794" s="82"/>
      <c r="Y794" s="82"/>
      <c r="Z794" s="82"/>
      <c r="AA794" s="82"/>
      <c r="AB794" s="145"/>
      <c r="AC794" s="145"/>
      <c r="AD794" s="145"/>
      <c r="AE794" s="145"/>
      <c r="AF794" s="145"/>
      <c r="AG794" s="145"/>
      <c r="AH794" s="145"/>
      <c r="AI794" s="145"/>
      <c r="AJ794" s="145"/>
      <c r="AK794" s="145"/>
      <c r="AL794" s="145"/>
      <c r="AM794" s="145"/>
      <c r="AN794" s="145"/>
      <c r="AO794" s="145"/>
      <c r="AP794" s="145"/>
      <c r="AQ794" s="145"/>
      <c r="AR794" s="145"/>
      <c r="AS794" s="145"/>
      <c r="AT794" s="145"/>
      <c r="AU794" s="145"/>
      <c r="AV794" s="146"/>
      <c r="AW794" s="146"/>
      <c r="AX794" s="146"/>
      <c r="AY794" s="146"/>
      <c r="AZ794" s="145"/>
      <c r="BA794" s="146"/>
      <c r="BB794" s="145"/>
      <c r="BC794" s="145"/>
      <c r="BD794" s="145"/>
      <c r="BE794" s="145"/>
      <c r="BF794" s="145"/>
      <c r="BG794" s="145"/>
      <c r="BH794" s="145"/>
      <c r="BI794" s="145"/>
      <c r="BJ794" s="145"/>
      <c r="BK794" s="145"/>
    </row>
    <row r="795" spans="1:63" s="147" customFormat="1" ht="15" x14ac:dyDescent="0.25">
      <c r="A795" s="39" t="s">
        <v>711</v>
      </c>
      <c r="B795" s="97" t="s">
        <v>85</v>
      </c>
      <c r="C795" s="103" t="s">
        <v>86</v>
      </c>
      <c r="D795" s="103"/>
      <c r="E795" s="103"/>
      <c r="F795" s="103"/>
      <c r="G795" s="103"/>
      <c r="H795" s="41" t="s">
        <v>75</v>
      </c>
      <c r="I795" s="42">
        <v>0.02</v>
      </c>
      <c r="J795" s="43">
        <v>1</v>
      </c>
      <c r="K795" s="62">
        <v>0.02</v>
      </c>
      <c r="L795" s="45"/>
      <c r="M795" s="42"/>
      <c r="N795" s="45"/>
      <c r="O795" s="42"/>
      <c r="P795" s="50"/>
      <c r="Q795" s="82"/>
      <c r="R795" s="82"/>
      <c r="S795" s="82"/>
      <c r="T795" s="82"/>
      <c r="U795" s="153"/>
      <c r="V795" s="82"/>
      <c r="W795" s="151"/>
      <c r="X795" s="82"/>
      <c r="Y795" s="82"/>
      <c r="Z795" s="82"/>
      <c r="AA795" s="82"/>
      <c r="AB795" s="145"/>
      <c r="AC795" s="145"/>
      <c r="AD795" s="145"/>
      <c r="AE795" s="145"/>
      <c r="AF795" s="145"/>
      <c r="AG795" s="145"/>
      <c r="AH795" s="145"/>
      <c r="AI795" s="145"/>
      <c r="AJ795" s="145"/>
      <c r="AK795" s="145"/>
      <c r="AL795" s="145"/>
      <c r="AM795" s="145"/>
      <c r="AN795" s="145"/>
      <c r="AO795" s="145"/>
      <c r="AP795" s="145"/>
      <c r="AQ795" s="145"/>
      <c r="AR795" s="145"/>
      <c r="AS795" s="145"/>
      <c r="AT795" s="145"/>
      <c r="AU795" s="145"/>
      <c r="AV795" s="146"/>
      <c r="AW795" s="146"/>
      <c r="AX795" s="146"/>
      <c r="AY795" s="146"/>
      <c r="AZ795" s="145"/>
      <c r="BA795" s="146"/>
      <c r="BB795" s="145"/>
      <c r="BC795" s="145"/>
      <c r="BD795" s="145"/>
      <c r="BE795" s="145"/>
      <c r="BF795" s="145"/>
      <c r="BG795" s="145"/>
      <c r="BH795" s="145"/>
      <c r="BI795" s="145"/>
      <c r="BJ795" s="145"/>
      <c r="BK795" s="145"/>
    </row>
    <row r="796" spans="1:63" s="147" customFormat="1" ht="15" x14ac:dyDescent="0.25">
      <c r="A796" s="47"/>
      <c r="B796" s="48"/>
      <c r="C796" s="102" t="s">
        <v>56</v>
      </c>
      <c r="D796" s="102"/>
      <c r="E796" s="102"/>
      <c r="F796" s="102"/>
      <c r="G796" s="102"/>
      <c r="H796" s="41"/>
      <c r="I796" s="42"/>
      <c r="J796" s="42"/>
      <c r="K796" s="42"/>
      <c r="L796" s="45"/>
      <c r="M796" s="42"/>
      <c r="N796" s="49"/>
      <c r="O796" s="42"/>
      <c r="P796" s="50">
        <v>216.5795</v>
      </c>
      <c r="Q796" s="157"/>
      <c r="R796" s="157"/>
      <c r="S796" s="82"/>
      <c r="T796" s="82"/>
      <c r="U796" s="156"/>
      <c r="V796" s="82"/>
      <c r="W796" s="168"/>
      <c r="X796" s="82"/>
      <c r="Y796" s="82"/>
      <c r="Z796" s="82"/>
      <c r="AA796" s="82"/>
      <c r="AB796" s="145"/>
      <c r="AC796" s="145"/>
      <c r="AD796" s="145"/>
      <c r="AE796" s="145"/>
      <c r="AF796" s="145"/>
      <c r="AG796" s="145"/>
      <c r="AH796" s="145"/>
      <c r="AI796" s="145"/>
      <c r="AJ796" s="145"/>
      <c r="AK796" s="145"/>
      <c r="AL796" s="145"/>
      <c r="AM796" s="145"/>
      <c r="AN796" s="145"/>
      <c r="AO796" s="145"/>
      <c r="AP796" s="145"/>
      <c r="AQ796" s="145"/>
      <c r="AR796" s="145"/>
      <c r="AS796" s="145"/>
      <c r="AT796" s="145"/>
      <c r="AU796" s="145"/>
      <c r="AV796" s="146"/>
      <c r="AW796" s="146"/>
      <c r="AX796" s="146"/>
      <c r="AY796" s="146"/>
      <c r="AZ796" s="145"/>
      <c r="BA796" s="146"/>
      <c r="BB796" s="145"/>
      <c r="BC796" s="145"/>
      <c r="BD796" s="145"/>
      <c r="BE796" s="145"/>
      <c r="BF796" s="145"/>
      <c r="BG796" s="145"/>
      <c r="BH796" s="145"/>
      <c r="BI796" s="145"/>
      <c r="BJ796" s="145"/>
      <c r="BK796" s="145"/>
    </row>
    <row r="797" spans="1:63" s="147" customFormat="1" ht="15" x14ac:dyDescent="0.25">
      <c r="A797" s="52"/>
      <c r="B797" s="53"/>
      <c r="C797" s="104" t="s">
        <v>57</v>
      </c>
      <c r="D797" s="104"/>
      <c r="E797" s="104"/>
      <c r="F797" s="104"/>
      <c r="G797" s="104"/>
      <c r="H797" s="54"/>
      <c r="I797" s="55"/>
      <c r="J797" s="55"/>
      <c r="K797" s="55"/>
      <c r="L797" s="56"/>
      <c r="M797" s="55"/>
      <c r="N797" s="56"/>
      <c r="O797" s="55"/>
      <c r="P797" s="77">
        <v>216.5795</v>
      </c>
      <c r="Q797" s="82"/>
      <c r="R797" s="82"/>
      <c r="S797" s="82"/>
      <c r="T797" s="82"/>
      <c r="U797" s="170"/>
      <c r="V797" s="82"/>
      <c r="W797" s="151"/>
      <c r="X797" s="82"/>
      <c r="Y797" s="82"/>
      <c r="Z797" s="82"/>
      <c r="AA797" s="82"/>
      <c r="AB797" s="145"/>
      <c r="AC797" s="145"/>
      <c r="AD797" s="145"/>
      <c r="AE797" s="145"/>
      <c r="AF797" s="145"/>
      <c r="AG797" s="145"/>
      <c r="AH797" s="145"/>
      <c r="AI797" s="145"/>
      <c r="AJ797" s="145"/>
      <c r="AK797" s="145"/>
      <c r="AL797" s="145"/>
      <c r="AM797" s="145"/>
      <c r="AN797" s="145"/>
      <c r="AO797" s="145"/>
      <c r="AP797" s="145"/>
      <c r="AQ797" s="145"/>
      <c r="AR797" s="145"/>
      <c r="AS797" s="145"/>
      <c r="AT797" s="145"/>
      <c r="AU797" s="145"/>
      <c r="AV797" s="146"/>
      <c r="AW797" s="146"/>
      <c r="AX797" s="146"/>
      <c r="AY797" s="146"/>
      <c r="AZ797" s="145"/>
      <c r="BA797" s="146"/>
      <c r="BB797" s="145"/>
      <c r="BC797" s="145"/>
      <c r="BD797" s="145"/>
      <c r="BE797" s="145"/>
      <c r="BF797" s="145"/>
      <c r="BG797" s="145"/>
      <c r="BH797" s="145"/>
      <c r="BI797" s="145"/>
      <c r="BJ797" s="145"/>
      <c r="BK797" s="145"/>
    </row>
    <row r="798" spans="1:63" s="147" customFormat="1" ht="15" x14ac:dyDescent="0.25">
      <c r="A798" s="52"/>
      <c r="B798" s="53" t="s">
        <v>76</v>
      </c>
      <c r="C798" s="104" t="s">
        <v>77</v>
      </c>
      <c r="D798" s="104"/>
      <c r="E798" s="104"/>
      <c r="F798" s="104"/>
      <c r="G798" s="104"/>
      <c r="H798" s="54" t="s">
        <v>60</v>
      </c>
      <c r="I798" s="58">
        <v>91</v>
      </c>
      <c r="J798" s="55"/>
      <c r="K798" s="58">
        <v>91</v>
      </c>
      <c r="L798" s="56"/>
      <c r="M798" s="55"/>
      <c r="N798" s="56"/>
      <c r="O798" s="55"/>
      <c r="P798" s="77">
        <v>197.08699999999999</v>
      </c>
      <c r="Q798" s="82"/>
      <c r="R798" s="82"/>
      <c r="S798" s="82"/>
      <c r="T798" s="82"/>
      <c r="U798" s="170"/>
      <c r="V798" s="82"/>
      <c r="W798" s="160"/>
      <c r="X798" s="82"/>
      <c r="Y798" s="82"/>
      <c r="Z798" s="82"/>
      <c r="AA798" s="82"/>
      <c r="AB798" s="145"/>
      <c r="AC798" s="145"/>
      <c r="AD798" s="145"/>
      <c r="AE798" s="145"/>
      <c r="AF798" s="145"/>
      <c r="AG798" s="145"/>
      <c r="AH798" s="145"/>
      <c r="AI798" s="145"/>
      <c r="AJ798" s="145"/>
      <c r="AK798" s="145"/>
      <c r="AL798" s="145"/>
      <c r="AM798" s="145"/>
      <c r="AN798" s="145"/>
      <c r="AO798" s="145"/>
      <c r="AP798" s="145"/>
      <c r="AQ798" s="145"/>
      <c r="AR798" s="145"/>
      <c r="AS798" s="145"/>
      <c r="AT798" s="145"/>
      <c r="AU798" s="145"/>
      <c r="AV798" s="146"/>
      <c r="AW798" s="146"/>
      <c r="AX798" s="146"/>
      <c r="AY798" s="146"/>
      <c r="AZ798" s="145"/>
      <c r="BA798" s="146"/>
      <c r="BB798" s="145"/>
      <c r="BC798" s="145"/>
      <c r="BD798" s="145"/>
      <c r="BE798" s="145"/>
      <c r="BF798" s="145"/>
      <c r="BG798" s="145"/>
      <c r="BH798" s="145"/>
      <c r="BI798" s="145"/>
      <c r="BJ798" s="145"/>
      <c r="BK798" s="145"/>
    </row>
    <row r="799" spans="1:63" s="147" customFormat="1" ht="15" x14ac:dyDescent="0.25">
      <c r="A799" s="52"/>
      <c r="B799" s="53" t="s">
        <v>78</v>
      </c>
      <c r="C799" s="104" t="s">
        <v>79</v>
      </c>
      <c r="D799" s="104"/>
      <c r="E799" s="104"/>
      <c r="F799" s="104"/>
      <c r="G799" s="104"/>
      <c r="H799" s="54" t="s">
        <v>60</v>
      </c>
      <c r="I799" s="58">
        <v>48</v>
      </c>
      <c r="J799" s="55"/>
      <c r="K799" s="58">
        <v>48</v>
      </c>
      <c r="L799" s="56"/>
      <c r="M799" s="55"/>
      <c r="N799" s="56"/>
      <c r="O799" s="55"/>
      <c r="P799" s="77">
        <v>103.96</v>
      </c>
      <c r="Q799" s="82"/>
      <c r="R799" s="82"/>
      <c r="S799" s="82"/>
      <c r="T799" s="82"/>
      <c r="U799" s="170"/>
      <c r="V799" s="82"/>
      <c r="W799" s="164"/>
      <c r="X799" s="82"/>
      <c r="Y799" s="82"/>
      <c r="Z799" s="82"/>
      <c r="AA799" s="82"/>
      <c r="AB799" s="145"/>
      <c r="AC799" s="145"/>
      <c r="AD799" s="145"/>
      <c r="AE799" s="145"/>
      <c r="AF799" s="145"/>
      <c r="AG799" s="145"/>
      <c r="AH799" s="145"/>
      <c r="AI799" s="145"/>
      <c r="AJ799" s="145"/>
      <c r="AK799" s="145"/>
      <c r="AL799" s="145"/>
      <c r="AM799" s="145"/>
      <c r="AN799" s="145"/>
      <c r="AO799" s="145"/>
      <c r="AP799" s="145"/>
      <c r="AQ799" s="145"/>
      <c r="AR799" s="145"/>
      <c r="AS799" s="145"/>
      <c r="AT799" s="145"/>
      <c r="AU799" s="145"/>
      <c r="AV799" s="146"/>
      <c r="AW799" s="146"/>
      <c r="AX799" s="146"/>
      <c r="AY799" s="146"/>
      <c r="AZ799" s="145"/>
      <c r="BA799" s="146"/>
      <c r="BB799" s="145"/>
      <c r="BC799" s="145"/>
      <c r="BD799" s="145"/>
      <c r="BE799" s="145"/>
      <c r="BF799" s="145"/>
      <c r="BG799" s="145"/>
      <c r="BH799" s="145"/>
      <c r="BI799" s="145"/>
      <c r="BJ799" s="145"/>
      <c r="BK799" s="145"/>
    </row>
    <row r="800" spans="1:63" s="147" customFormat="1" ht="15" x14ac:dyDescent="0.25">
      <c r="A800" s="59"/>
      <c r="B800" s="98"/>
      <c r="C800" s="102" t="s">
        <v>63</v>
      </c>
      <c r="D800" s="102"/>
      <c r="E800" s="102"/>
      <c r="F800" s="102"/>
      <c r="G800" s="102"/>
      <c r="H800" s="41"/>
      <c r="I800" s="42"/>
      <c r="J800" s="42"/>
      <c r="K800" s="42"/>
      <c r="L800" s="45"/>
      <c r="M800" s="42"/>
      <c r="N800" s="49">
        <v>22505.5</v>
      </c>
      <c r="O800" s="42"/>
      <c r="P800" s="50">
        <v>517.62649999999996</v>
      </c>
      <c r="Q800" s="82"/>
      <c r="R800" s="82"/>
      <c r="S800" s="82"/>
      <c r="T800" s="82"/>
      <c r="U800" s="167"/>
      <c r="V800" s="82"/>
      <c r="W800" s="164"/>
      <c r="X800" s="82"/>
      <c r="Y800" s="82"/>
      <c r="Z800" s="82"/>
      <c r="AA800" s="82"/>
      <c r="AB800" s="145"/>
      <c r="AC800" s="145"/>
      <c r="AD800" s="145"/>
      <c r="AE800" s="145"/>
      <c r="AF800" s="145"/>
      <c r="AG800" s="145"/>
      <c r="AH800" s="145"/>
      <c r="AI800" s="145"/>
      <c r="AJ800" s="145"/>
      <c r="AK800" s="145"/>
      <c r="AL800" s="145"/>
      <c r="AM800" s="145"/>
      <c r="AN800" s="145"/>
      <c r="AO800" s="145"/>
      <c r="AP800" s="145"/>
      <c r="AQ800" s="145"/>
      <c r="AR800" s="145"/>
      <c r="AS800" s="145"/>
      <c r="AT800" s="145"/>
      <c r="AU800" s="145"/>
      <c r="AV800" s="146"/>
      <c r="AW800" s="146"/>
      <c r="AX800" s="146"/>
      <c r="AY800" s="146"/>
      <c r="AZ800" s="145"/>
      <c r="BA800" s="146"/>
      <c r="BB800" s="145"/>
      <c r="BC800" s="145"/>
      <c r="BD800" s="145"/>
      <c r="BE800" s="145"/>
      <c r="BF800" s="145"/>
      <c r="BG800" s="145"/>
      <c r="BH800" s="145"/>
      <c r="BI800" s="145"/>
      <c r="BJ800" s="145"/>
      <c r="BK800" s="145"/>
    </row>
    <row r="801" spans="1:63" s="147" customFormat="1" ht="15" x14ac:dyDescent="0.25">
      <c r="A801" s="39" t="s">
        <v>712</v>
      </c>
      <c r="B801" s="97" t="s">
        <v>88</v>
      </c>
      <c r="C801" s="103" t="s">
        <v>89</v>
      </c>
      <c r="D801" s="103"/>
      <c r="E801" s="103"/>
      <c r="F801" s="103"/>
      <c r="G801" s="103"/>
      <c r="H801" s="41" t="s">
        <v>83</v>
      </c>
      <c r="I801" s="42">
        <v>2</v>
      </c>
      <c r="J801" s="43">
        <v>1</v>
      </c>
      <c r="K801" s="43">
        <v>2</v>
      </c>
      <c r="L801" s="61">
        <v>42.54</v>
      </c>
      <c r="M801" s="62">
        <v>1.42</v>
      </c>
      <c r="N801" s="61">
        <v>60.41</v>
      </c>
      <c r="O801" s="42"/>
      <c r="P801" s="50">
        <v>138.94299999999998</v>
      </c>
      <c r="Q801" s="82"/>
      <c r="R801" s="82"/>
      <c r="S801" s="82"/>
      <c r="T801" s="82"/>
      <c r="U801" s="167"/>
      <c r="V801" s="82"/>
      <c r="W801" s="151"/>
      <c r="X801" s="82"/>
      <c r="Y801" s="82"/>
      <c r="Z801" s="82"/>
      <c r="AA801" s="82"/>
      <c r="AB801" s="145"/>
      <c r="AC801" s="145"/>
      <c r="AD801" s="145"/>
      <c r="AE801" s="145"/>
      <c r="AF801" s="145"/>
      <c r="AG801" s="145"/>
      <c r="AH801" s="145"/>
      <c r="AI801" s="145"/>
      <c r="AJ801" s="145"/>
      <c r="AK801" s="145"/>
      <c r="AL801" s="145"/>
      <c r="AM801" s="145"/>
      <c r="AN801" s="145"/>
      <c r="AO801" s="145"/>
      <c r="AP801" s="145"/>
      <c r="AQ801" s="145"/>
      <c r="AR801" s="145"/>
      <c r="AS801" s="145"/>
      <c r="AT801" s="145"/>
      <c r="AU801" s="145"/>
      <c r="AV801" s="146"/>
      <c r="AW801" s="146"/>
      <c r="AX801" s="146"/>
      <c r="AY801" s="146"/>
      <c r="AZ801" s="145"/>
      <c r="BA801" s="146"/>
      <c r="BB801" s="145"/>
      <c r="BC801" s="145"/>
      <c r="BD801" s="145"/>
      <c r="BE801" s="145"/>
      <c r="BF801" s="145"/>
      <c r="BG801" s="145"/>
      <c r="BH801" s="145"/>
      <c r="BI801" s="145"/>
      <c r="BJ801" s="145"/>
      <c r="BK801" s="145"/>
    </row>
    <row r="802" spans="1:63" s="147" customFormat="1" ht="15" x14ac:dyDescent="0.25">
      <c r="A802" s="59"/>
      <c r="B802" s="98"/>
      <c r="C802" s="102" t="s">
        <v>63</v>
      </c>
      <c r="D802" s="102"/>
      <c r="E802" s="102"/>
      <c r="F802" s="102"/>
      <c r="G802" s="102"/>
      <c r="H802" s="41"/>
      <c r="I802" s="42"/>
      <c r="J802" s="42"/>
      <c r="K802" s="42"/>
      <c r="L802" s="45"/>
      <c r="M802" s="42"/>
      <c r="N802" s="45"/>
      <c r="O802" s="42"/>
      <c r="P802" s="50">
        <v>138.94299999999998</v>
      </c>
      <c r="Q802" s="82"/>
      <c r="R802" s="82"/>
      <c r="S802" s="82"/>
      <c r="T802" s="82"/>
      <c r="U802" s="167"/>
      <c r="V802" s="82"/>
      <c r="W802" s="152"/>
      <c r="X802" s="82"/>
      <c r="Y802" s="82"/>
      <c r="Z802" s="82"/>
      <c r="AA802" s="82"/>
      <c r="AB802" s="145"/>
      <c r="AC802" s="145"/>
      <c r="AD802" s="145"/>
      <c r="AE802" s="145"/>
      <c r="AF802" s="145"/>
      <c r="AG802" s="145"/>
      <c r="AH802" s="145"/>
      <c r="AI802" s="145"/>
      <c r="AJ802" s="145"/>
      <c r="AK802" s="145"/>
      <c r="AL802" s="145"/>
      <c r="AM802" s="145"/>
      <c r="AN802" s="145"/>
      <c r="AO802" s="145"/>
      <c r="AP802" s="145"/>
      <c r="AQ802" s="145"/>
      <c r="AR802" s="145"/>
      <c r="AS802" s="145"/>
      <c r="AT802" s="145"/>
      <c r="AU802" s="145"/>
      <c r="AV802" s="146"/>
      <c r="AW802" s="146"/>
      <c r="AX802" s="146"/>
      <c r="AY802" s="146"/>
      <c r="AZ802" s="145"/>
      <c r="BA802" s="146"/>
      <c r="BB802" s="145"/>
      <c r="BC802" s="145"/>
      <c r="BD802" s="145"/>
      <c r="BE802" s="145"/>
      <c r="BF802" s="145"/>
      <c r="BG802" s="145"/>
      <c r="BH802" s="145"/>
      <c r="BI802" s="145"/>
      <c r="BJ802" s="145"/>
      <c r="BK802" s="145"/>
    </row>
    <row r="803" spans="1:63" s="147" customFormat="1" ht="15" x14ac:dyDescent="0.25">
      <c r="A803" s="39" t="s">
        <v>713</v>
      </c>
      <c r="B803" s="97" t="s">
        <v>91</v>
      </c>
      <c r="C803" s="103" t="s">
        <v>92</v>
      </c>
      <c r="D803" s="103"/>
      <c r="E803" s="103"/>
      <c r="F803" s="103"/>
      <c r="G803" s="103"/>
      <c r="H803" s="41" t="s">
        <v>93</v>
      </c>
      <c r="I803" s="42">
        <v>2E-3</v>
      </c>
      <c r="J803" s="43">
        <v>1</v>
      </c>
      <c r="K803" s="66">
        <v>2E-3</v>
      </c>
      <c r="L803" s="49">
        <v>7782.25</v>
      </c>
      <c r="M803" s="62">
        <v>0.85</v>
      </c>
      <c r="N803" s="49">
        <v>6614.91</v>
      </c>
      <c r="O803" s="42"/>
      <c r="P803" s="50">
        <v>15.214499999999999</v>
      </c>
      <c r="Q803" s="82"/>
      <c r="R803" s="82"/>
      <c r="S803" s="82"/>
      <c r="T803" s="82"/>
      <c r="U803" s="167"/>
      <c r="V803" s="82"/>
      <c r="W803" s="151"/>
      <c r="X803" s="82"/>
      <c r="Y803" s="82"/>
      <c r="Z803" s="82"/>
      <c r="AA803" s="82"/>
      <c r="AB803" s="145"/>
      <c r="AC803" s="145"/>
      <c r="AD803" s="145"/>
      <c r="AE803" s="145"/>
      <c r="AF803" s="145"/>
      <c r="AG803" s="145"/>
      <c r="AH803" s="145"/>
      <c r="AI803" s="145"/>
      <c r="AJ803" s="145"/>
      <c r="AK803" s="145"/>
      <c r="AL803" s="145"/>
      <c r="AM803" s="145"/>
      <c r="AN803" s="145"/>
      <c r="AO803" s="145"/>
      <c r="AP803" s="145"/>
      <c r="AQ803" s="145"/>
      <c r="AR803" s="145"/>
      <c r="AS803" s="145"/>
      <c r="AT803" s="145"/>
      <c r="AU803" s="145"/>
      <c r="AV803" s="146"/>
      <c r="AW803" s="146"/>
      <c r="AX803" s="146"/>
      <c r="AY803" s="146"/>
      <c r="AZ803" s="145"/>
      <c r="BA803" s="146"/>
      <c r="BB803" s="145"/>
      <c r="BC803" s="145"/>
      <c r="BD803" s="145"/>
      <c r="BE803" s="145"/>
      <c r="BF803" s="145"/>
      <c r="BG803" s="145"/>
      <c r="BH803" s="145"/>
      <c r="BI803" s="145"/>
      <c r="BJ803" s="145"/>
      <c r="BK803" s="145"/>
    </row>
    <row r="804" spans="1:63" s="147" customFormat="1" ht="15" x14ac:dyDescent="0.25">
      <c r="A804" s="59"/>
      <c r="B804" s="98"/>
      <c r="C804" s="102" t="s">
        <v>63</v>
      </c>
      <c r="D804" s="102"/>
      <c r="E804" s="102"/>
      <c r="F804" s="102"/>
      <c r="G804" s="102"/>
      <c r="H804" s="41"/>
      <c r="I804" s="42"/>
      <c r="J804" s="42"/>
      <c r="K804" s="42"/>
      <c r="L804" s="45"/>
      <c r="M804" s="42"/>
      <c r="N804" s="45"/>
      <c r="O804" s="42"/>
      <c r="P804" s="50">
        <v>15.214499999999999</v>
      </c>
      <c r="Q804" s="82"/>
      <c r="R804" s="82"/>
      <c r="S804" s="82"/>
      <c r="T804" s="82"/>
      <c r="U804" s="167"/>
      <c r="V804" s="82"/>
      <c r="W804" s="171"/>
      <c r="X804" s="82"/>
      <c r="Y804" s="82"/>
      <c r="Z804" s="82"/>
      <c r="AA804" s="82"/>
      <c r="AB804" s="145"/>
      <c r="AC804" s="145"/>
      <c r="AD804" s="145"/>
      <c r="AE804" s="145"/>
      <c r="AF804" s="145"/>
      <c r="AG804" s="145"/>
      <c r="AH804" s="145"/>
      <c r="AI804" s="145"/>
      <c r="AJ804" s="145"/>
      <c r="AK804" s="145"/>
      <c r="AL804" s="145"/>
      <c r="AM804" s="145"/>
      <c r="AN804" s="145"/>
      <c r="AO804" s="145"/>
      <c r="AP804" s="145"/>
      <c r="AQ804" s="145"/>
      <c r="AR804" s="145"/>
      <c r="AS804" s="145"/>
      <c r="AT804" s="145"/>
      <c r="AU804" s="145"/>
      <c r="AV804" s="146"/>
      <c r="AW804" s="146"/>
      <c r="AX804" s="146"/>
      <c r="AY804" s="146"/>
      <c r="AZ804" s="145"/>
      <c r="BA804" s="146"/>
      <c r="BB804" s="145"/>
      <c r="BC804" s="145"/>
      <c r="BD804" s="145"/>
      <c r="BE804" s="145"/>
      <c r="BF804" s="145"/>
      <c r="BG804" s="145"/>
      <c r="BH804" s="145"/>
      <c r="BI804" s="145"/>
      <c r="BJ804" s="145"/>
      <c r="BK804" s="145"/>
    </row>
    <row r="805" spans="1:63" s="147" customFormat="1" ht="15" x14ac:dyDescent="0.25">
      <c r="A805" s="107" t="s">
        <v>94</v>
      </c>
      <c r="B805" s="108"/>
      <c r="C805" s="108"/>
      <c r="D805" s="108"/>
      <c r="E805" s="108"/>
      <c r="F805" s="108"/>
      <c r="G805" s="108"/>
      <c r="H805" s="108"/>
      <c r="I805" s="108"/>
      <c r="J805" s="108"/>
      <c r="K805" s="108"/>
      <c r="L805" s="108"/>
      <c r="M805" s="108"/>
      <c r="N805" s="108"/>
      <c r="O805" s="108"/>
      <c r="P805" s="109"/>
      <c r="Q805" s="82"/>
      <c r="R805" s="82"/>
      <c r="S805" s="82"/>
      <c r="T805" s="82"/>
      <c r="U805" s="82"/>
      <c r="V805" s="82"/>
      <c r="W805" s="151"/>
      <c r="X805" s="82"/>
      <c r="Y805" s="82"/>
      <c r="Z805" s="82"/>
      <c r="AA805" s="82"/>
      <c r="AB805" s="145"/>
      <c r="AC805" s="145"/>
      <c r="AD805" s="145"/>
      <c r="AE805" s="145"/>
      <c r="AF805" s="145"/>
      <c r="AG805" s="145"/>
      <c r="AH805" s="145"/>
      <c r="AI805" s="145"/>
      <c r="AJ805" s="145"/>
      <c r="AK805" s="145"/>
      <c r="AL805" s="145"/>
      <c r="AM805" s="145"/>
      <c r="AN805" s="145"/>
      <c r="AO805" s="145"/>
      <c r="AP805" s="145"/>
      <c r="AQ805" s="145"/>
      <c r="AR805" s="145"/>
      <c r="AS805" s="145"/>
      <c r="AT805" s="145"/>
      <c r="AU805" s="145"/>
      <c r="AV805" s="146"/>
      <c r="AW805" s="146"/>
      <c r="AX805" s="146"/>
      <c r="AY805" s="146"/>
      <c r="AZ805" s="145"/>
      <c r="BA805" s="146"/>
      <c r="BB805" s="145"/>
      <c r="BC805" s="145"/>
      <c r="BD805" s="145"/>
      <c r="BE805" s="145"/>
      <c r="BF805" s="145"/>
      <c r="BG805" s="145"/>
      <c r="BH805" s="145"/>
      <c r="BI805" s="145"/>
      <c r="BJ805" s="145"/>
      <c r="BK805" s="145"/>
    </row>
    <row r="806" spans="1:63" s="147" customFormat="1" ht="15" x14ac:dyDescent="0.25">
      <c r="A806" s="39" t="s">
        <v>714</v>
      </c>
      <c r="B806" s="97" t="s">
        <v>96</v>
      </c>
      <c r="C806" s="105" t="s">
        <v>308</v>
      </c>
      <c r="D806" s="105"/>
      <c r="E806" s="105"/>
      <c r="F806" s="105"/>
      <c r="G806" s="105"/>
      <c r="H806" s="41" t="s">
        <v>55</v>
      </c>
      <c r="I806" s="44">
        <v>1.5599999999999999E-2</v>
      </c>
      <c r="J806" s="43">
        <v>1</v>
      </c>
      <c r="K806" s="44">
        <f>I806</f>
        <v>1.5599999999999999E-2</v>
      </c>
      <c r="L806" s="45"/>
      <c r="M806" s="42"/>
      <c r="N806" s="45"/>
      <c r="O806" s="42"/>
      <c r="P806" s="46"/>
      <c r="Q806" s="82"/>
      <c r="R806" s="82"/>
      <c r="S806" s="82"/>
      <c r="T806" s="82"/>
      <c r="U806" s="82"/>
      <c r="V806" s="82"/>
      <c r="W806" s="82"/>
      <c r="X806" s="82"/>
      <c r="Y806" s="82"/>
      <c r="Z806" s="82"/>
      <c r="AA806" s="82"/>
      <c r="AB806" s="145"/>
      <c r="AC806" s="145"/>
      <c r="AD806" s="145"/>
      <c r="AE806" s="145"/>
      <c r="AF806" s="145"/>
      <c r="AG806" s="145"/>
      <c r="AH806" s="145"/>
      <c r="AI806" s="145"/>
      <c r="AJ806" s="145"/>
      <c r="AK806" s="145"/>
      <c r="AL806" s="145"/>
      <c r="AM806" s="145"/>
      <c r="AN806" s="145"/>
      <c r="AO806" s="145"/>
      <c r="AP806" s="145"/>
      <c r="AQ806" s="145"/>
      <c r="AR806" s="145"/>
      <c r="AS806" s="145"/>
      <c r="AT806" s="145"/>
      <c r="AU806" s="145"/>
      <c r="AV806" s="146"/>
      <c r="AW806" s="146"/>
      <c r="AX806" s="146"/>
      <c r="AY806" s="146"/>
      <c r="AZ806" s="145"/>
      <c r="BA806" s="146"/>
      <c r="BB806" s="145"/>
      <c r="BC806" s="145"/>
      <c r="BD806" s="145"/>
      <c r="BE806" s="145"/>
      <c r="BF806" s="145"/>
      <c r="BG806" s="145"/>
      <c r="BH806" s="145"/>
      <c r="BI806" s="145"/>
      <c r="BJ806" s="145"/>
      <c r="BK806" s="145"/>
    </row>
    <row r="807" spans="1:63" s="147" customFormat="1" ht="15" x14ac:dyDescent="0.25">
      <c r="A807" s="47"/>
      <c r="B807" s="48"/>
      <c r="C807" s="106" t="s">
        <v>56</v>
      </c>
      <c r="D807" s="106"/>
      <c r="E807" s="106"/>
      <c r="F807" s="106"/>
      <c r="G807" s="106"/>
      <c r="H807" s="41"/>
      <c r="I807" s="42"/>
      <c r="J807" s="42"/>
      <c r="K807" s="42"/>
      <c r="L807" s="45"/>
      <c r="M807" s="42"/>
      <c r="N807" s="49"/>
      <c r="O807" s="42"/>
      <c r="P807" s="50">
        <v>1167.204</v>
      </c>
      <c r="Q807" s="157"/>
      <c r="R807" s="157"/>
      <c r="S807" s="82"/>
      <c r="T807" s="82"/>
      <c r="U807" s="156"/>
      <c r="V807" s="82"/>
      <c r="W807" s="168"/>
      <c r="X807" s="82"/>
      <c r="Y807" s="82"/>
      <c r="Z807" s="82"/>
      <c r="AA807" s="82"/>
      <c r="AB807" s="145"/>
      <c r="AC807" s="145"/>
      <c r="AD807" s="145"/>
      <c r="AE807" s="145"/>
      <c r="AF807" s="145"/>
      <c r="AG807" s="145"/>
      <c r="AH807" s="145"/>
      <c r="AI807" s="145"/>
      <c r="AJ807" s="145"/>
      <c r="AK807" s="145"/>
      <c r="AL807" s="145"/>
      <c r="AM807" s="145"/>
      <c r="AN807" s="145"/>
      <c r="AO807" s="145"/>
      <c r="AP807" s="145"/>
      <c r="AQ807" s="145"/>
      <c r="AR807" s="145"/>
      <c r="AS807" s="145"/>
      <c r="AT807" s="145"/>
      <c r="AU807" s="145"/>
      <c r="AV807" s="146"/>
      <c r="AW807" s="146"/>
      <c r="AX807" s="146"/>
      <c r="AY807" s="146"/>
      <c r="AZ807" s="145"/>
      <c r="BA807" s="146"/>
      <c r="BB807" s="145"/>
      <c r="BC807" s="145"/>
      <c r="BD807" s="145"/>
      <c r="BE807" s="145"/>
      <c r="BF807" s="145"/>
      <c r="BG807" s="145"/>
      <c r="BH807" s="145"/>
      <c r="BI807" s="145"/>
      <c r="BJ807" s="145"/>
      <c r="BK807" s="145"/>
    </row>
    <row r="808" spans="1:63" s="147" customFormat="1" ht="15" x14ac:dyDescent="0.25">
      <c r="A808" s="52"/>
      <c r="B808" s="53"/>
      <c r="C808" s="110" t="s">
        <v>57</v>
      </c>
      <c r="D808" s="110"/>
      <c r="E808" s="110"/>
      <c r="F808" s="110"/>
      <c r="G808" s="110"/>
      <c r="H808" s="54"/>
      <c r="I808" s="55"/>
      <c r="J808" s="55"/>
      <c r="K808" s="55"/>
      <c r="L808" s="56"/>
      <c r="M808" s="55"/>
      <c r="N808" s="56"/>
      <c r="O808" s="55"/>
      <c r="P808" s="77">
        <v>718.45099999999991</v>
      </c>
      <c r="Q808" s="82"/>
      <c r="R808" s="82"/>
      <c r="S808" s="82"/>
      <c r="T808" s="82"/>
      <c r="U808" s="170"/>
      <c r="V808" s="82"/>
      <c r="W808" s="151"/>
      <c r="X808" s="82"/>
      <c r="Y808" s="82"/>
      <c r="Z808" s="82"/>
      <c r="AA808" s="82"/>
      <c r="AB808" s="145"/>
      <c r="AC808" s="145"/>
      <c r="AD808" s="145"/>
      <c r="AE808" s="145"/>
      <c r="AF808" s="145"/>
      <c r="AG808" s="145"/>
      <c r="AH808" s="145"/>
      <c r="AI808" s="145"/>
      <c r="AJ808" s="145"/>
      <c r="AK808" s="145"/>
      <c r="AL808" s="145"/>
      <c r="AM808" s="145"/>
      <c r="AN808" s="145"/>
      <c r="AO808" s="145"/>
      <c r="AP808" s="145"/>
      <c r="AQ808" s="145"/>
      <c r="AR808" s="145"/>
      <c r="AS808" s="145"/>
      <c r="AT808" s="145"/>
      <c r="AU808" s="145"/>
      <c r="AV808" s="146"/>
      <c r="AW808" s="146"/>
      <c r="AX808" s="146"/>
      <c r="AY808" s="146"/>
      <c r="AZ808" s="145"/>
      <c r="BA808" s="146"/>
      <c r="BB808" s="145"/>
      <c r="BC808" s="145"/>
      <c r="BD808" s="145"/>
      <c r="BE808" s="145"/>
      <c r="BF808" s="145"/>
      <c r="BG808" s="145"/>
      <c r="BH808" s="145"/>
      <c r="BI808" s="145"/>
      <c r="BJ808" s="145"/>
      <c r="BK808" s="145"/>
    </row>
    <row r="809" spans="1:63" s="147" customFormat="1" ht="15" x14ac:dyDescent="0.25">
      <c r="A809" s="52"/>
      <c r="B809" s="53" t="s">
        <v>98</v>
      </c>
      <c r="C809" s="110" t="s">
        <v>99</v>
      </c>
      <c r="D809" s="110"/>
      <c r="E809" s="110"/>
      <c r="F809" s="110"/>
      <c r="G809" s="110"/>
      <c r="H809" s="54" t="s">
        <v>60</v>
      </c>
      <c r="I809" s="58">
        <v>108</v>
      </c>
      <c r="J809" s="55"/>
      <c r="K809" s="58">
        <v>108</v>
      </c>
      <c r="L809" s="56"/>
      <c r="M809" s="55"/>
      <c r="N809" s="56"/>
      <c r="O809" s="55"/>
      <c r="P809" s="77">
        <v>775.928</v>
      </c>
      <c r="Q809" s="82"/>
      <c r="R809" s="82"/>
      <c r="S809" s="82"/>
      <c r="T809" s="82"/>
      <c r="U809" s="170"/>
      <c r="V809" s="82"/>
      <c r="W809" s="160"/>
      <c r="X809" s="82"/>
      <c r="Y809" s="82"/>
      <c r="Z809" s="82"/>
      <c r="AA809" s="82"/>
      <c r="AB809" s="145"/>
      <c r="AC809" s="145"/>
      <c r="AD809" s="145"/>
      <c r="AE809" s="145"/>
      <c r="AF809" s="145"/>
      <c r="AG809" s="145"/>
      <c r="AH809" s="145"/>
      <c r="AI809" s="145"/>
      <c r="AJ809" s="145"/>
      <c r="AK809" s="145"/>
      <c r="AL809" s="145"/>
      <c r="AM809" s="145"/>
      <c r="AN809" s="145"/>
      <c r="AO809" s="145"/>
      <c r="AP809" s="145"/>
      <c r="AQ809" s="145"/>
      <c r="AR809" s="145"/>
      <c r="AS809" s="145"/>
      <c r="AT809" s="145"/>
      <c r="AU809" s="145"/>
      <c r="AV809" s="146"/>
      <c r="AW809" s="146"/>
      <c r="AX809" s="146"/>
      <c r="AY809" s="146"/>
      <c r="AZ809" s="145"/>
      <c r="BA809" s="146"/>
      <c r="BB809" s="145"/>
      <c r="BC809" s="145"/>
      <c r="BD809" s="145"/>
      <c r="BE809" s="145"/>
      <c r="BF809" s="145"/>
      <c r="BG809" s="145"/>
      <c r="BH809" s="145"/>
      <c r="BI809" s="145"/>
      <c r="BJ809" s="145"/>
      <c r="BK809" s="145"/>
    </row>
    <row r="810" spans="1:63" s="147" customFormat="1" ht="15" x14ac:dyDescent="0.25">
      <c r="A810" s="52"/>
      <c r="B810" s="53" t="s">
        <v>100</v>
      </c>
      <c r="C810" s="110" t="s">
        <v>101</v>
      </c>
      <c r="D810" s="110"/>
      <c r="E810" s="110"/>
      <c r="F810" s="110"/>
      <c r="G810" s="110"/>
      <c r="H810" s="54" t="s">
        <v>60</v>
      </c>
      <c r="I810" s="58">
        <v>55</v>
      </c>
      <c r="J810" s="55"/>
      <c r="K810" s="58">
        <v>55</v>
      </c>
      <c r="L810" s="56"/>
      <c r="M810" s="55"/>
      <c r="N810" s="56"/>
      <c r="O810" s="55"/>
      <c r="P810" s="77">
        <v>395.1515</v>
      </c>
      <c r="Q810" s="82"/>
      <c r="R810" s="82"/>
      <c r="S810" s="82"/>
      <c r="T810" s="82"/>
      <c r="U810" s="170"/>
      <c r="V810" s="82"/>
      <c r="W810" s="164"/>
      <c r="X810" s="82"/>
      <c r="Y810" s="82"/>
      <c r="Z810" s="82"/>
      <c r="AA810" s="82"/>
      <c r="AB810" s="145"/>
      <c r="AC810" s="145"/>
      <c r="AD810" s="145"/>
      <c r="AE810" s="145"/>
      <c r="AF810" s="145"/>
      <c r="AG810" s="145"/>
      <c r="AH810" s="145"/>
      <c r="AI810" s="145"/>
      <c r="AJ810" s="145"/>
      <c r="AK810" s="145"/>
      <c r="AL810" s="145"/>
      <c r="AM810" s="145"/>
      <c r="AN810" s="145"/>
      <c r="AO810" s="145"/>
      <c r="AP810" s="145"/>
      <c r="AQ810" s="145"/>
      <c r="AR810" s="145"/>
      <c r="AS810" s="145"/>
      <c r="AT810" s="145"/>
      <c r="AU810" s="145"/>
      <c r="AV810" s="146"/>
      <c r="AW810" s="146"/>
      <c r="AX810" s="146"/>
      <c r="AY810" s="146"/>
      <c r="AZ810" s="145"/>
      <c r="BA810" s="146"/>
      <c r="BB810" s="145"/>
      <c r="BC810" s="145"/>
      <c r="BD810" s="145"/>
      <c r="BE810" s="145"/>
      <c r="BF810" s="145"/>
      <c r="BG810" s="145"/>
      <c r="BH810" s="145"/>
      <c r="BI810" s="145"/>
      <c r="BJ810" s="145"/>
      <c r="BK810" s="145"/>
    </row>
    <row r="811" spans="1:63" s="147" customFormat="1" ht="15" x14ac:dyDescent="0.25">
      <c r="A811" s="59"/>
      <c r="B811" s="98"/>
      <c r="C811" s="106" t="s">
        <v>63</v>
      </c>
      <c r="D811" s="106"/>
      <c r="E811" s="106"/>
      <c r="F811" s="106"/>
      <c r="G811" s="106"/>
      <c r="H811" s="41"/>
      <c r="I811" s="42"/>
      <c r="J811" s="42"/>
      <c r="K811" s="42"/>
      <c r="L811" s="45"/>
      <c r="M811" s="42"/>
      <c r="N811" s="49">
        <v>101664.5</v>
      </c>
      <c r="O811" s="42"/>
      <c r="P811" s="50">
        <v>3215.8765599999997</v>
      </c>
      <c r="Q811" s="82"/>
      <c r="R811" s="82"/>
      <c r="S811" s="82"/>
      <c r="T811" s="82"/>
      <c r="U811" s="156"/>
      <c r="V811" s="82"/>
      <c r="W811" s="164"/>
      <c r="X811" s="82"/>
      <c r="Y811" s="82"/>
      <c r="Z811" s="82"/>
      <c r="AA811" s="82"/>
      <c r="AB811" s="145"/>
      <c r="AC811" s="145"/>
      <c r="AD811" s="145"/>
      <c r="AE811" s="145"/>
      <c r="AF811" s="145"/>
      <c r="AG811" s="145"/>
      <c r="AH811" s="145"/>
      <c r="AI811" s="145"/>
      <c r="AJ811" s="145"/>
      <c r="AK811" s="145"/>
      <c r="AL811" s="145"/>
      <c r="AM811" s="145"/>
      <c r="AN811" s="145"/>
      <c r="AO811" s="145"/>
      <c r="AP811" s="145"/>
      <c r="AQ811" s="145"/>
      <c r="AR811" s="145"/>
      <c r="AS811" s="145"/>
      <c r="AT811" s="145"/>
      <c r="AU811" s="145"/>
      <c r="AV811" s="146"/>
      <c r="AW811" s="146"/>
      <c r="AX811" s="146"/>
      <c r="AY811" s="146"/>
      <c r="AZ811" s="145"/>
      <c r="BA811" s="146"/>
      <c r="BB811" s="145"/>
      <c r="BC811" s="145"/>
      <c r="BD811" s="145"/>
      <c r="BE811" s="145"/>
      <c r="BF811" s="145"/>
      <c r="BG811" s="145"/>
      <c r="BH811" s="145"/>
      <c r="BI811" s="145"/>
      <c r="BJ811" s="145"/>
      <c r="BK811" s="145"/>
    </row>
    <row r="812" spans="1:63" s="147" customFormat="1" ht="15" x14ac:dyDescent="0.25">
      <c r="A812" s="39" t="s">
        <v>715</v>
      </c>
      <c r="B812" s="97" t="s">
        <v>103</v>
      </c>
      <c r="C812" s="105" t="s">
        <v>309</v>
      </c>
      <c r="D812" s="105"/>
      <c r="E812" s="105"/>
      <c r="F812" s="105"/>
      <c r="G812" s="105"/>
      <c r="H812" s="41" t="s">
        <v>83</v>
      </c>
      <c r="I812" s="42">
        <v>14</v>
      </c>
      <c r="J812" s="43">
        <v>1</v>
      </c>
      <c r="K812" s="67">
        <v>14</v>
      </c>
      <c r="L812" s="61">
        <v>92.12</v>
      </c>
      <c r="M812" s="62">
        <v>1.48</v>
      </c>
      <c r="N812" s="61">
        <v>136.34</v>
      </c>
      <c r="O812" s="42"/>
      <c r="P812" s="50">
        <v>2453.9727333333335</v>
      </c>
      <c r="Q812" s="82"/>
      <c r="R812" s="82"/>
      <c r="S812" s="82"/>
      <c r="T812" s="82"/>
      <c r="U812" s="167"/>
      <c r="V812" s="82"/>
      <c r="W812" s="151"/>
      <c r="X812" s="82"/>
      <c r="Y812" s="82"/>
      <c r="Z812" s="82"/>
      <c r="AA812" s="82"/>
      <c r="AB812" s="145"/>
      <c r="AC812" s="145"/>
      <c r="AD812" s="145"/>
      <c r="AE812" s="145"/>
      <c r="AF812" s="145"/>
      <c r="AG812" s="145"/>
      <c r="AH812" s="145"/>
      <c r="AI812" s="145"/>
      <c r="AJ812" s="145"/>
      <c r="AK812" s="145"/>
      <c r="AL812" s="145"/>
      <c r="AM812" s="145"/>
      <c r="AN812" s="145"/>
      <c r="AO812" s="145"/>
      <c r="AP812" s="145"/>
      <c r="AQ812" s="145"/>
      <c r="AR812" s="145"/>
      <c r="AS812" s="145"/>
      <c r="AT812" s="145"/>
      <c r="AU812" s="145"/>
      <c r="AV812" s="146"/>
      <c r="AW812" s="146"/>
      <c r="AX812" s="146"/>
      <c r="AY812" s="146"/>
      <c r="AZ812" s="145"/>
      <c r="BA812" s="146"/>
      <c r="BB812" s="145"/>
      <c r="BC812" s="145"/>
      <c r="BD812" s="145"/>
      <c r="BE812" s="145"/>
      <c r="BF812" s="145"/>
      <c r="BG812" s="145"/>
      <c r="BH812" s="145"/>
      <c r="BI812" s="145"/>
      <c r="BJ812" s="145"/>
      <c r="BK812" s="145"/>
    </row>
    <row r="813" spans="1:63" s="147" customFormat="1" ht="15" x14ac:dyDescent="0.25">
      <c r="A813" s="59"/>
      <c r="B813" s="98"/>
      <c r="C813" s="102" t="s">
        <v>63</v>
      </c>
      <c r="D813" s="102"/>
      <c r="E813" s="102"/>
      <c r="F813" s="102"/>
      <c r="G813" s="102"/>
      <c r="H813" s="41"/>
      <c r="I813" s="42"/>
      <c r="J813" s="42"/>
      <c r="K813" s="42"/>
      <c r="L813" s="45"/>
      <c r="M813" s="42"/>
      <c r="N813" s="45"/>
      <c r="O813" s="42"/>
      <c r="P813" s="50">
        <v>2453.9727333333335</v>
      </c>
      <c r="Q813" s="82"/>
      <c r="R813" s="82"/>
      <c r="S813" s="82"/>
      <c r="T813" s="82"/>
      <c r="U813" s="167"/>
      <c r="V813" s="82"/>
      <c r="W813" s="175"/>
      <c r="X813" s="82"/>
      <c r="Y813" s="82"/>
      <c r="Z813" s="82"/>
      <c r="AA813" s="82"/>
      <c r="AB813" s="145"/>
      <c r="AC813" s="145"/>
      <c r="AD813" s="145"/>
      <c r="AE813" s="145"/>
      <c r="AF813" s="145"/>
      <c r="AG813" s="145"/>
      <c r="AH813" s="145"/>
      <c r="AI813" s="145"/>
      <c r="AJ813" s="145"/>
      <c r="AK813" s="145"/>
      <c r="AL813" s="145"/>
      <c r="AM813" s="145"/>
      <c r="AN813" s="145"/>
      <c r="AO813" s="145"/>
      <c r="AP813" s="145"/>
      <c r="AQ813" s="145"/>
      <c r="AR813" s="145"/>
      <c r="AS813" s="145"/>
      <c r="AT813" s="145"/>
      <c r="AU813" s="145"/>
      <c r="AV813" s="146"/>
      <c r="AW813" s="146"/>
      <c r="AX813" s="146"/>
      <c r="AY813" s="146"/>
      <c r="AZ813" s="145"/>
      <c r="BA813" s="146"/>
      <c r="BB813" s="145"/>
      <c r="BC813" s="145"/>
      <c r="BD813" s="145"/>
      <c r="BE813" s="145"/>
      <c r="BF813" s="145"/>
      <c r="BG813" s="145"/>
      <c r="BH813" s="145"/>
      <c r="BI813" s="145"/>
      <c r="BJ813" s="145"/>
      <c r="BK813" s="145"/>
    </row>
    <row r="814" spans="1:63" s="147" customFormat="1" ht="15" x14ac:dyDescent="0.25">
      <c r="A814" s="39" t="s">
        <v>716</v>
      </c>
      <c r="B814" s="97" t="s">
        <v>107</v>
      </c>
      <c r="C814" s="103" t="s">
        <v>108</v>
      </c>
      <c r="D814" s="103"/>
      <c r="E814" s="103"/>
      <c r="F814" s="103"/>
      <c r="G814" s="103"/>
      <c r="H814" s="41" t="s">
        <v>55</v>
      </c>
      <c r="I814" s="42">
        <v>0.3624</v>
      </c>
      <c r="J814" s="43">
        <v>1</v>
      </c>
      <c r="K814" s="44">
        <v>0.3624</v>
      </c>
      <c r="L814" s="45"/>
      <c r="M814" s="42"/>
      <c r="N814" s="45"/>
      <c r="O814" s="42"/>
      <c r="P814" s="50"/>
      <c r="Q814" s="82"/>
      <c r="R814" s="82"/>
      <c r="S814" s="82"/>
      <c r="T814" s="82"/>
      <c r="U814" s="153"/>
      <c r="V814" s="82"/>
      <c r="W814" s="151"/>
      <c r="X814" s="82"/>
      <c r="Y814" s="82"/>
      <c r="Z814" s="82"/>
      <c r="AA814" s="82"/>
      <c r="AB814" s="145"/>
      <c r="AC814" s="145"/>
      <c r="AD814" s="145"/>
      <c r="AE814" s="145"/>
      <c r="AF814" s="145"/>
      <c r="AG814" s="145"/>
      <c r="AH814" s="145"/>
      <c r="AI814" s="145"/>
      <c r="AJ814" s="145"/>
      <c r="AK814" s="145"/>
      <c r="AL814" s="145"/>
      <c r="AM814" s="145"/>
      <c r="AN814" s="145"/>
      <c r="AO814" s="145"/>
      <c r="AP814" s="145"/>
      <c r="AQ814" s="145"/>
      <c r="AR814" s="145"/>
      <c r="AS814" s="145"/>
      <c r="AT814" s="145"/>
      <c r="AU814" s="145"/>
      <c r="AV814" s="146"/>
      <c r="AW814" s="146"/>
      <c r="AX814" s="146"/>
      <c r="AY814" s="146"/>
      <c r="AZ814" s="145"/>
      <c r="BA814" s="146"/>
      <c r="BB814" s="145"/>
      <c r="BC814" s="145"/>
      <c r="BD814" s="145"/>
      <c r="BE814" s="145"/>
      <c r="BF814" s="145"/>
      <c r="BG814" s="145"/>
      <c r="BH814" s="145"/>
      <c r="BI814" s="145"/>
      <c r="BJ814" s="145"/>
      <c r="BK814" s="145"/>
    </row>
    <row r="815" spans="1:63" s="147" customFormat="1" ht="15" x14ac:dyDescent="0.25">
      <c r="A815" s="47"/>
      <c r="B815" s="48"/>
      <c r="C815" s="102" t="s">
        <v>56</v>
      </c>
      <c r="D815" s="102"/>
      <c r="E815" s="102"/>
      <c r="F815" s="102"/>
      <c r="G815" s="102"/>
      <c r="H815" s="41"/>
      <c r="I815" s="42"/>
      <c r="J815" s="42"/>
      <c r="K815" s="42"/>
      <c r="L815" s="45"/>
      <c r="M815" s="42"/>
      <c r="N815" s="49"/>
      <c r="O815" s="42"/>
      <c r="P815" s="50">
        <v>305.78499999999997</v>
      </c>
      <c r="Q815" s="157"/>
      <c r="R815" s="157"/>
      <c r="S815" s="82"/>
      <c r="T815" s="82"/>
      <c r="U815" s="156"/>
      <c r="V815" s="82"/>
      <c r="W815" s="166"/>
      <c r="X815" s="82"/>
      <c r="Y815" s="82"/>
      <c r="Z815" s="82"/>
      <c r="AA815" s="82"/>
      <c r="AB815" s="145"/>
      <c r="AC815" s="145"/>
      <c r="AD815" s="145"/>
      <c r="AE815" s="145"/>
      <c r="AF815" s="145"/>
      <c r="AG815" s="145"/>
      <c r="AH815" s="145"/>
      <c r="AI815" s="145"/>
      <c r="AJ815" s="145"/>
      <c r="AK815" s="145"/>
      <c r="AL815" s="145"/>
      <c r="AM815" s="145"/>
      <c r="AN815" s="145"/>
      <c r="AO815" s="145"/>
      <c r="AP815" s="145"/>
      <c r="AQ815" s="145"/>
      <c r="AR815" s="145"/>
      <c r="AS815" s="145"/>
      <c r="AT815" s="145"/>
      <c r="AU815" s="145"/>
      <c r="AV815" s="146"/>
      <c r="AW815" s="146"/>
      <c r="AX815" s="146"/>
      <c r="AY815" s="146"/>
      <c r="AZ815" s="145"/>
      <c r="BA815" s="146"/>
      <c r="BB815" s="145"/>
      <c r="BC815" s="145"/>
      <c r="BD815" s="145"/>
      <c r="BE815" s="145"/>
      <c r="BF815" s="145"/>
      <c r="BG815" s="145"/>
      <c r="BH815" s="145"/>
      <c r="BI815" s="145"/>
      <c r="BJ815" s="145"/>
      <c r="BK815" s="145"/>
    </row>
    <row r="816" spans="1:63" s="147" customFormat="1" ht="15" x14ac:dyDescent="0.25">
      <c r="A816" s="52"/>
      <c r="B816" s="53"/>
      <c r="C816" s="104" t="s">
        <v>57</v>
      </c>
      <c r="D816" s="104"/>
      <c r="E816" s="104"/>
      <c r="F816" s="104"/>
      <c r="G816" s="104"/>
      <c r="H816" s="54"/>
      <c r="I816" s="55"/>
      <c r="J816" s="55"/>
      <c r="K816" s="55"/>
      <c r="L816" s="56"/>
      <c r="M816" s="55"/>
      <c r="N816" s="56"/>
      <c r="O816" s="55"/>
      <c r="P816" s="77">
        <v>303.11699999999996</v>
      </c>
      <c r="Q816" s="82"/>
      <c r="R816" s="82"/>
      <c r="S816" s="82"/>
      <c r="T816" s="82"/>
      <c r="U816" s="170"/>
      <c r="V816" s="82"/>
      <c r="W816" s="151"/>
      <c r="X816" s="82"/>
      <c r="Y816" s="82"/>
      <c r="Z816" s="82"/>
      <c r="AA816" s="82"/>
      <c r="AB816" s="145"/>
      <c r="AC816" s="145"/>
      <c r="AD816" s="145"/>
      <c r="AE816" s="145"/>
      <c r="AF816" s="145"/>
      <c r="AG816" s="145"/>
      <c r="AH816" s="145"/>
      <c r="AI816" s="145"/>
      <c r="AJ816" s="145"/>
      <c r="AK816" s="145"/>
      <c r="AL816" s="145"/>
      <c r="AM816" s="145"/>
      <c r="AN816" s="145"/>
      <c r="AO816" s="145"/>
      <c r="AP816" s="145"/>
      <c r="AQ816" s="145"/>
      <c r="AR816" s="145"/>
      <c r="AS816" s="145"/>
      <c r="AT816" s="145"/>
      <c r="AU816" s="145"/>
      <c r="AV816" s="146"/>
      <c r="AW816" s="146"/>
      <c r="AX816" s="146"/>
      <c r="AY816" s="146"/>
      <c r="AZ816" s="145"/>
      <c r="BA816" s="146"/>
      <c r="BB816" s="145"/>
      <c r="BC816" s="145"/>
      <c r="BD816" s="145"/>
      <c r="BE816" s="145"/>
      <c r="BF816" s="145"/>
      <c r="BG816" s="145"/>
      <c r="BH816" s="145"/>
      <c r="BI816" s="145"/>
      <c r="BJ816" s="145"/>
      <c r="BK816" s="145"/>
    </row>
    <row r="817" spans="1:63" s="147" customFormat="1" ht="15" x14ac:dyDescent="0.25">
      <c r="A817" s="52"/>
      <c r="B817" s="53" t="s">
        <v>58</v>
      </c>
      <c r="C817" s="104" t="s">
        <v>59</v>
      </c>
      <c r="D817" s="104"/>
      <c r="E817" s="104"/>
      <c r="F817" s="104"/>
      <c r="G817" s="104"/>
      <c r="H817" s="54" t="s">
        <v>60</v>
      </c>
      <c r="I817" s="58">
        <v>100</v>
      </c>
      <c r="J817" s="55"/>
      <c r="K817" s="58">
        <v>100</v>
      </c>
      <c r="L817" s="56"/>
      <c r="M817" s="55"/>
      <c r="N817" s="56"/>
      <c r="O817" s="55"/>
      <c r="P817" s="77">
        <v>303.11699999999996</v>
      </c>
      <c r="Q817" s="82"/>
      <c r="R817" s="82"/>
      <c r="S817" s="82"/>
      <c r="T817" s="82"/>
      <c r="U817" s="170"/>
      <c r="V817" s="82"/>
      <c r="W817" s="160"/>
      <c r="X817" s="82"/>
      <c r="Y817" s="82"/>
      <c r="Z817" s="82"/>
      <c r="AA817" s="82"/>
      <c r="AB817" s="145"/>
      <c r="AC817" s="145"/>
      <c r="AD817" s="145"/>
      <c r="AE817" s="145"/>
      <c r="AF817" s="145"/>
      <c r="AG817" s="145"/>
      <c r="AH817" s="145"/>
      <c r="AI817" s="145"/>
      <c r="AJ817" s="145"/>
      <c r="AK817" s="145"/>
      <c r="AL817" s="145"/>
      <c r="AM817" s="145"/>
      <c r="AN817" s="145"/>
      <c r="AO817" s="145"/>
      <c r="AP817" s="145"/>
      <c r="AQ817" s="145"/>
      <c r="AR817" s="145"/>
      <c r="AS817" s="145"/>
      <c r="AT817" s="145"/>
      <c r="AU817" s="145"/>
      <c r="AV817" s="146"/>
      <c r="AW817" s="146"/>
      <c r="AX817" s="146"/>
      <c r="AY817" s="146"/>
      <c r="AZ817" s="145"/>
      <c r="BA817" s="146"/>
      <c r="BB817" s="145"/>
      <c r="BC817" s="145"/>
      <c r="BD817" s="145"/>
      <c r="BE817" s="145"/>
      <c r="BF817" s="145"/>
      <c r="BG817" s="145"/>
      <c r="BH817" s="145"/>
      <c r="BI817" s="145"/>
      <c r="BJ817" s="145"/>
      <c r="BK817" s="145"/>
    </row>
    <row r="818" spans="1:63" s="147" customFormat="1" ht="15" x14ac:dyDescent="0.25">
      <c r="A818" s="52"/>
      <c r="B818" s="53" t="s">
        <v>61</v>
      </c>
      <c r="C818" s="104" t="s">
        <v>62</v>
      </c>
      <c r="D818" s="104"/>
      <c r="E818" s="104"/>
      <c r="F818" s="104"/>
      <c r="G818" s="104"/>
      <c r="H818" s="54" t="s">
        <v>60</v>
      </c>
      <c r="I818" s="58">
        <v>49</v>
      </c>
      <c r="J818" s="55"/>
      <c r="K818" s="58">
        <v>49</v>
      </c>
      <c r="L818" s="56"/>
      <c r="M818" s="55"/>
      <c r="N818" s="56"/>
      <c r="O818" s="55"/>
      <c r="P818" s="77">
        <v>148.52250000000001</v>
      </c>
      <c r="Q818" s="82"/>
      <c r="R818" s="82"/>
      <c r="S818" s="82"/>
      <c r="T818" s="82"/>
      <c r="U818" s="170"/>
      <c r="V818" s="82"/>
      <c r="W818" s="164"/>
      <c r="X818" s="82"/>
      <c r="Y818" s="82"/>
      <c r="Z818" s="82"/>
      <c r="AA818" s="82"/>
      <c r="AB818" s="145"/>
      <c r="AC818" s="145"/>
      <c r="AD818" s="145"/>
      <c r="AE818" s="145"/>
      <c r="AF818" s="145"/>
      <c r="AG818" s="145"/>
      <c r="AH818" s="145"/>
      <c r="AI818" s="145"/>
      <c r="AJ818" s="145"/>
      <c r="AK818" s="145"/>
      <c r="AL818" s="145"/>
      <c r="AM818" s="145"/>
      <c r="AN818" s="145"/>
      <c r="AO818" s="145"/>
      <c r="AP818" s="145"/>
      <c r="AQ818" s="145"/>
      <c r="AR818" s="145"/>
      <c r="AS818" s="145"/>
      <c r="AT818" s="145"/>
      <c r="AU818" s="145"/>
      <c r="AV818" s="146"/>
      <c r="AW818" s="146"/>
      <c r="AX818" s="146"/>
      <c r="AY818" s="146"/>
      <c r="AZ818" s="145"/>
      <c r="BA818" s="146"/>
      <c r="BB818" s="145"/>
      <c r="BC818" s="145"/>
      <c r="BD818" s="145"/>
      <c r="BE818" s="145"/>
      <c r="BF818" s="145"/>
      <c r="BG818" s="145"/>
      <c r="BH818" s="145"/>
      <c r="BI818" s="145"/>
      <c r="BJ818" s="145"/>
      <c r="BK818" s="145"/>
    </row>
    <row r="819" spans="1:63" s="147" customFormat="1" ht="15" x14ac:dyDescent="0.25">
      <c r="A819" s="59"/>
      <c r="B819" s="98"/>
      <c r="C819" s="102" t="s">
        <v>63</v>
      </c>
      <c r="D819" s="102"/>
      <c r="E819" s="102"/>
      <c r="F819" s="102"/>
      <c r="G819" s="102"/>
      <c r="H819" s="41"/>
      <c r="I819" s="42"/>
      <c r="J819" s="42"/>
      <c r="K819" s="42"/>
      <c r="L819" s="45"/>
      <c r="M819" s="42"/>
      <c r="N819" s="49">
        <v>4828.67</v>
      </c>
      <c r="O819" s="42"/>
      <c r="P819" s="50">
        <v>2012.3947126099706</v>
      </c>
      <c r="Q819" s="82"/>
      <c r="R819" s="82"/>
      <c r="S819" s="82"/>
      <c r="T819" s="82"/>
      <c r="U819" s="167"/>
      <c r="V819" s="82"/>
      <c r="W819" s="164"/>
      <c r="X819" s="82"/>
      <c r="Y819" s="82"/>
      <c r="Z819" s="82"/>
      <c r="AA819" s="82"/>
      <c r="AB819" s="145"/>
      <c r="AC819" s="145"/>
      <c r="AD819" s="145"/>
      <c r="AE819" s="145"/>
      <c r="AF819" s="145"/>
      <c r="AG819" s="145"/>
      <c r="AH819" s="145"/>
      <c r="AI819" s="145"/>
      <c r="AJ819" s="145"/>
      <c r="AK819" s="145"/>
      <c r="AL819" s="145"/>
      <c r="AM819" s="145"/>
      <c r="AN819" s="145"/>
      <c r="AO819" s="145"/>
      <c r="AP819" s="145"/>
      <c r="AQ819" s="145"/>
      <c r="AR819" s="145"/>
      <c r="AS819" s="145"/>
      <c r="AT819" s="145"/>
      <c r="AU819" s="145"/>
      <c r="AV819" s="146"/>
      <c r="AW819" s="146"/>
      <c r="AX819" s="146"/>
      <c r="AY819" s="146"/>
      <c r="AZ819" s="145"/>
      <c r="BA819" s="146"/>
      <c r="BB819" s="145"/>
      <c r="BC819" s="145"/>
      <c r="BD819" s="145"/>
      <c r="BE819" s="145"/>
      <c r="BF819" s="145"/>
      <c r="BG819" s="145"/>
      <c r="BH819" s="145"/>
      <c r="BI819" s="145"/>
      <c r="BJ819" s="145"/>
      <c r="BK819" s="145"/>
    </row>
    <row r="820" spans="1:63" s="147" customFormat="1" ht="15" x14ac:dyDescent="0.25">
      <c r="A820" s="39" t="s">
        <v>717</v>
      </c>
      <c r="B820" s="97" t="s">
        <v>110</v>
      </c>
      <c r="C820" s="103" t="s">
        <v>111</v>
      </c>
      <c r="D820" s="103"/>
      <c r="E820" s="103"/>
      <c r="F820" s="103"/>
      <c r="G820" s="103"/>
      <c r="H820" s="41" t="s">
        <v>67</v>
      </c>
      <c r="I820" s="42">
        <v>6.4</v>
      </c>
      <c r="J820" s="43">
        <v>1</v>
      </c>
      <c r="K820" s="44">
        <v>6.4</v>
      </c>
      <c r="L820" s="61">
        <v>65.84</v>
      </c>
      <c r="M820" s="67">
        <v>1.2</v>
      </c>
      <c r="N820" s="61">
        <v>79.010000000000005</v>
      </c>
      <c r="O820" s="42"/>
      <c r="P820" s="50">
        <v>581.50758061071951</v>
      </c>
      <c r="Q820" s="82"/>
      <c r="R820" s="82"/>
      <c r="S820" s="82"/>
      <c r="T820" s="82"/>
      <c r="U820" s="167"/>
      <c r="V820" s="82"/>
      <c r="W820" s="151"/>
      <c r="X820" s="82"/>
      <c r="Y820" s="82"/>
      <c r="Z820" s="82"/>
      <c r="AA820" s="82"/>
      <c r="AB820" s="145"/>
      <c r="AC820" s="145"/>
      <c r="AD820" s="145"/>
      <c r="AE820" s="145"/>
      <c r="AF820" s="145"/>
      <c r="AG820" s="145"/>
      <c r="AH820" s="145"/>
      <c r="AI820" s="145"/>
      <c r="AJ820" s="145"/>
      <c r="AK820" s="145"/>
      <c r="AL820" s="145"/>
      <c r="AM820" s="145"/>
      <c r="AN820" s="145"/>
      <c r="AO820" s="145"/>
      <c r="AP820" s="145"/>
      <c r="AQ820" s="145"/>
      <c r="AR820" s="145"/>
      <c r="AS820" s="145"/>
      <c r="AT820" s="145"/>
      <c r="AU820" s="145"/>
      <c r="AV820" s="146"/>
      <c r="AW820" s="146"/>
      <c r="AX820" s="146"/>
      <c r="AY820" s="146"/>
      <c r="AZ820" s="145"/>
      <c r="BA820" s="146"/>
      <c r="BB820" s="145"/>
      <c r="BC820" s="145"/>
      <c r="BD820" s="145"/>
      <c r="BE820" s="145"/>
      <c r="BF820" s="145"/>
      <c r="BG820" s="145"/>
      <c r="BH820" s="145"/>
      <c r="BI820" s="145"/>
      <c r="BJ820" s="145"/>
      <c r="BK820" s="145"/>
    </row>
    <row r="821" spans="1:63" s="147" customFormat="1" ht="15" x14ac:dyDescent="0.25">
      <c r="A821" s="59"/>
      <c r="B821" s="98"/>
      <c r="C821" s="102" t="s">
        <v>63</v>
      </c>
      <c r="D821" s="102"/>
      <c r="E821" s="102"/>
      <c r="F821" s="102"/>
      <c r="G821" s="102"/>
      <c r="H821" s="41"/>
      <c r="I821" s="42"/>
      <c r="J821" s="42"/>
      <c r="K821" s="42"/>
      <c r="L821" s="45"/>
      <c r="M821" s="42"/>
      <c r="N821" s="45"/>
      <c r="O821" s="42"/>
      <c r="P821" s="50">
        <v>581.50758061071951</v>
      </c>
      <c r="Q821" s="82"/>
      <c r="R821" s="82"/>
      <c r="S821" s="82"/>
      <c r="T821" s="82"/>
      <c r="U821" s="167"/>
      <c r="V821" s="82"/>
      <c r="W821" s="166"/>
      <c r="X821" s="82"/>
      <c r="Y821" s="82"/>
      <c r="Z821" s="82"/>
      <c r="AA821" s="82"/>
      <c r="AB821" s="145"/>
      <c r="AC821" s="145"/>
      <c r="AD821" s="145"/>
      <c r="AE821" s="145"/>
      <c r="AF821" s="145"/>
      <c r="AG821" s="145"/>
      <c r="AH821" s="145"/>
      <c r="AI821" s="145"/>
      <c r="AJ821" s="145"/>
      <c r="AK821" s="145"/>
      <c r="AL821" s="145"/>
      <c r="AM821" s="145"/>
      <c r="AN821" s="145"/>
      <c r="AO821" s="145"/>
      <c r="AP821" s="145"/>
      <c r="AQ821" s="145"/>
      <c r="AR821" s="145"/>
      <c r="AS821" s="145"/>
      <c r="AT821" s="145"/>
      <c r="AU821" s="145"/>
      <c r="AV821" s="146"/>
      <c r="AW821" s="146"/>
      <c r="AX821" s="146"/>
      <c r="AY821" s="146"/>
      <c r="AZ821" s="145"/>
      <c r="BA821" s="146"/>
      <c r="BB821" s="145"/>
      <c r="BC821" s="145"/>
      <c r="BD821" s="145"/>
      <c r="BE821" s="145"/>
      <c r="BF821" s="145"/>
      <c r="BG821" s="145"/>
      <c r="BH821" s="145"/>
      <c r="BI821" s="145"/>
      <c r="BJ821" s="145"/>
      <c r="BK821" s="145"/>
    </row>
    <row r="822" spans="1:63" s="147" customFormat="1" ht="15" x14ac:dyDescent="0.25">
      <c r="A822" s="39" t="s">
        <v>718</v>
      </c>
      <c r="B822" s="97" t="s">
        <v>113</v>
      </c>
      <c r="C822" s="103" t="s">
        <v>114</v>
      </c>
      <c r="D822" s="103"/>
      <c r="E822" s="103"/>
      <c r="F822" s="103"/>
      <c r="G822" s="103"/>
      <c r="H822" s="41" t="s">
        <v>55</v>
      </c>
      <c r="I822" s="42">
        <v>0.3624</v>
      </c>
      <c r="J822" s="43">
        <v>1</v>
      </c>
      <c r="K822" s="44">
        <v>0.3624</v>
      </c>
      <c r="L822" s="45"/>
      <c r="M822" s="42"/>
      <c r="N822" s="45"/>
      <c r="O822" s="42"/>
      <c r="P822" s="50"/>
      <c r="Q822" s="82"/>
      <c r="R822" s="82"/>
      <c r="S822" s="82"/>
      <c r="T822" s="82"/>
      <c r="U822" s="153"/>
      <c r="V822" s="82"/>
      <c r="W822" s="151"/>
      <c r="X822" s="82"/>
      <c r="Y822" s="82"/>
      <c r="Z822" s="82"/>
      <c r="AA822" s="82"/>
      <c r="AB822" s="145"/>
      <c r="AC822" s="145"/>
      <c r="AD822" s="145"/>
      <c r="AE822" s="145"/>
      <c r="AF822" s="145"/>
      <c r="AG822" s="145"/>
      <c r="AH822" s="145"/>
      <c r="AI822" s="145"/>
      <c r="AJ822" s="145"/>
      <c r="AK822" s="145"/>
      <c r="AL822" s="145"/>
      <c r="AM822" s="145"/>
      <c r="AN822" s="145"/>
      <c r="AO822" s="145"/>
      <c r="AP822" s="145"/>
      <c r="AQ822" s="145"/>
      <c r="AR822" s="145"/>
      <c r="AS822" s="145"/>
      <c r="AT822" s="145"/>
      <c r="AU822" s="145"/>
      <c r="AV822" s="146"/>
      <c r="AW822" s="146"/>
      <c r="AX822" s="146"/>
      <c r="AY822" s="146"/>
      <c r="AZ822" s="145"/>
      <c r="BA822" s="146"/>
      <c r="BB822" s="145"/>
      <c r="BC822" s="145"/>
      <c r="BD822" s="145"/>
      <c r="BE822" s="145"/>
      <c r="BF822" s="145"/>
      <c r="BG822" s="145"/>
      <c r="BH822" s="145"/>
      <c r="BI822" s="145"/>
      <c r="BJ822" s="145"/>
      <c r="BK822" s="145"/>
    </row>
    <row r="823" spans="1:63" s="147" customFormat="1" ht="15" x14ac:dyDescent="0.25">
      <c r="A823" s="47"/>
      <c r="B823" s="48"/>
      <c r="C823" s="102" t="s">
        <v>56</v>
      </c>
      <c r="D823" s="102"/>
      <c r="E823" s="102"/>
      <c r="F823" s="102"/>
      <c r="G823" s="102"/>
      <c r="H823" s="41"/>
      <c r="I823" s="42"/>
      <c r="J823" s="42"/>
      <c r="K823" s="42"/>
      <c r="L823" s="45"/>
      <c r="M823" s="42"/>
      <c r="N823" s="49"/>
      <c r="O823" s="42"/>
      <c r="P823" s="50">
        <v>1936.8874999999998</v>
      </c>
      <c r="Q823" s="157"/>
      <c r="R823" s="157"/>
      <c r="S823" s="82"/>
      <c r="T823" s="82"/>
      <c r="U823" s="156"/>
      <c r="V823" s="82"/>
      <c r="W823" s="166"/>
      <c r="X823" s="82"/>
      <c r="Y823" s="82"/>
      <c r="Z823" s="82"/>
      <c r="AA823" s="82"/>
      <c r="AB823" s="145"/>
      <c r="AC823" s="145"/>
      <c r="AD823" s="145"/>
      <c r="AE823" s="145"/>
      <c r="AF823" s="145"/>
      <c r="AG823" s="145"/>
      <c r="AH823" s="145"/>
      <c r="AI823" s="145"/>
      <c r="AJ823" s="145"/>
      <c r="AK823" s="145"/>
      <c r="AL823" s="145"/>
      <c r="AM823" s="145"/>
      <c r="AN823" s="145"/>
      <c r="AO823" s="145"/>
      <c r="AP823" s="145"/>
      <c r="AQ823" s="145"/>
      <c r="AR823" s="145"/>
      <c r="AS823" s="145"/>
      <c r="AT823" s="145"/>
      <c r="AU823" s="145"/>
      <c r="AV823" s="146"/>
      <c r="AW823" s="146"/>
      <c r="AX823" s="146"/>
      <c r="AY823" s="146"/>
      <c r="AZ823" s="145"/>
      <c r="BA823" s="146"/>
      <c r="BB823" s="145"/>
      <c r="BC823" s="145"/>
      <c r="BD823" s="145"/>
      <c r="BE823" s="145"/>
      <c r="BF823" s="145"/>
      <c r="BG823" s="145"/>
      <c r="BH823" s="145"/>
      <c r="BI823" s="145"/>
      <c r="BJ823" s="145"/>
      <c r="BK823" s="145"/>
    </row>
    <row r="824" spans="1:63" s="147" customFormat="1" ht="15" x14ac:dyDescent="0.25">
      <c r="A824" s="52"/>
      <c r="B824" s="53"/>
      <c r="C824" s="104" t="s">
        <v>57</v>
      </c>
      <c r="D824" s="104"/>
      <c r="E824" s="104"/>
      <c r="F824" s="104"/>
      <c r="G824" s="104"/>
      <c r="H824" s="54"/>
      <c r="I824" s="55"/>
      <c r="J824" s="55"/>
      <c r="K824" s="55"/>
      <c r="L824" s="56"/>
      <c r="M824" s="55"/>
      <c r="N824" s="56"/>
      <c r="O824" s="55"/>
      <c r="P824" s="77">
        <v>1927.2504999999996</v>
      </c>
      <c r="Q824" s="82"/>
      <c r="R824" s="82"/>
      <c r="S824" s="82"/>
      <c r="T824" s="82"/>
      <c r="U824" s="163"/>
      <c r="V824" s="82"/>
      <c r="W824" s="151"/>
      <c r="X824" s="82"/>
      <c r="Y824" s="82"/>
      <c r="Z824" s="82"/>
      <c r="AA824" s="82"/>
      <c r="AB824" s="145"/>
      <c r="AC824" s="145"/>
      <c r="AD824" s="145"/>
      <c r="AE824" s="145"/>
      <c r="AF824" s="145"/>
      <c r="AG824" s="145"/>
      <c r="AH824" s="145"/>
      <c r="AI824" s="145"/>
      <c r="AJ824" s="145"/>
      <c r="AK824" s="145"/>
      <c r="AL824" s="145"/>
      <c r="AM824" s="145"/>
      <c r="AN824" s="145"/>
      <c r="AO824" s="145"/>
      <c r="AP824" s="145"/>
      <c r="AQ824" s="145"/>
      <c r="AR824" s="145"/>
      <c r="AS824" s="145"/>
      <c r="AT824" s="145"/>
      <c r="AU824" s="145"/>
      <c r="AV824" s="146"/>
      <c r="AW824" s="146"/>
      <c r="AX824" s="146"/>
      <c r="AY824" s="146"/>
      <c r="AZ824" s="145"/>
      <c r="BA824" s="146"/>
      <c r="BB824" s="145"/>
      <c r="BC824" s="145"/>
      <c r="BD824" s="145"/>
      <c r="BE824" s="145"/>
      <c r="BF824" s="145"/>
      <c r="BG824" s="145"/>
      <c r="BH824" s="145"/>
      <c r="BI824" s="145"/>
      <c r="BJ824" s="145"/>
      <c r="BK824" s="145"/>
    </row>
    <row r="825" spans="1:63" s="147" customFormat="1" ht="15" x14ac:dyDescent="0.25">
      <c r="A825" s="52"/>
      <c r="B825" s="53" t="s">
        <v>58</v>
      </c>
      <c r="C825" s="104" t="s">
        <v>59</v>
      </c>
      <c r="D825" s="104"/>
      <c r="E825" s="104"/>
      <c r="F825" s="104"/>
      <c r="G825" s="104"/>
      <c r="H825" s="54" t="s">
        <v>60</v>
      </c>
      <c r="I825" s="58">
        <v>100</v>
      </c>
      <c r="J825" s="55"/>
      <c r="K825" s="58">
        <v>100</v>
      </c>
      <c r="L825" s="56"/>
      <c r="M825" s="55"/>
      <c r="N825" s="56"/>
      <c r="O825" s="55"/>
      <c r="P825" s="77">
        <v>1927.2504999999996</v>
      </c>
      <c r="Q825" s="82"/>
      <c r="R825" s="82"/>
      <c r="S825" s="82"/>
      <c r="T825" s="82"/>
      <c r="U825" s="163"/>
      <c r="V825" s="82"/>
      <c r="W825" s="160"/>
      <c r="X825" s="82"/>
      <c r="Y825" s="82"/>
      <c r="Z825" s="82"/>
      <c r="AA825" s="82"/>
      <c r="AB825" s="145"/>
      <c r="AC825" s="145"/>
      <c r="AD825" s="145"/>
      <c r="AE825" s="145"/>
      <c r="AF825" s="145"/>
      <c r="AG825" s="145"/>
      <c r="AH825" s="145"/>
      <c r="AI825" s="145"/>
      <c r="AJ825" s="145"/>
      <c r="AK825" s="145"/>
      <c r="AL825" s="145"/>
      <c r="AM825" s="145"/>
      <c r="AN825" s="145"/>
      <c r="AO825" s="145"/>
      <c r="AP825" s="145"/>
      <c r="AQ825" s="145"/>
      <c r="AR825" s="145"/>
      <c r="AS825" s="145"/>
      <c r="AT825" s="145"/>
      <c r="AU825" s="145"/>
      <c r="AV825" s="146"/>
      <c r="AW825" s="146"/>
      <c r="AX825" s="146"/>
      <c r="AY825" s="146"/>
      <c r="AZ825" s="145"/>
      <c r="BA825" s="146"/>
      <c r="BB825" s="145"/>
      <c r="BC825" s="145"/>
      <c r="BD825" s="145"/>
      <c r="BE825" s="145"/>
      <c r="BF825" s="145"/>
      <c r="BG825" s="145"/>
      <c r="BH825" s="145"/>
      <c r="BI825" s="145"/>
      <c r="BJ825" s="145"/>
      <c r="BK825" s="145"/>
    </row>
    <row r="826" spans="1:63" s="147" customFormat="1" ht="15" x14ac:dyDescent="0.25">
      <c r="A826" s="52"/>
      <c r="B826" s="53" t="s">
        <v>61</v>
      </c>
      <c r="C826" s="104" t="s">
        <v>62</v>
      </c>
      <c r="D826" s="104"/>
      <c r="E826" s="104"/>
      <c r="F826" s="104"/>
      <c r="G826" s="104"/>
      <c r="H826" s="54" t="s">
        <v>60</v>
      </c>
      <c r="I826" s="58">
        <v>49</v>
      </c>
      <c r="J826" s="55"/>
      <c r="K826" s="58">
        <v>49</v>
      </c>
      <c r="L826" s="56"/>
      <c r="M826" s="55"/>
      <c r="N826" s="56"/>
      <c r="O826" s="55"/>
      <c r="P826" s="77">
        <v>944.35699999999986</v>
      </c>
      <c r="Q826" s="82"/>
      <c r="R826" s="82"/>
      <c r="S826" s="82"/>
      <c r="T826" s="82"/>
      <c r="U826" s="170"/>
      <c r="V826" s="82"/>
      <c r="W826" s="164"/>
      <c r="X826" s="82"/>
      <c r="Y826" s="82"/>
      <c r="Z826" s="82"/>
      <c r="AA826" s="82"/>
      <c r="AB826" s="145"/>
      <c r="AC826" s="145"/>
      <c r="AD826" s="145"/>
      <c r="AE826" s="145"/>
      <c r="AF826" s="145"/>
      <c r="AG826" s="145"/>
      <c r="AH826" s="145"/>
      <c r="AI826" s="145"/>
      <c r="AJ826" s="145"/>
      <c r="AK826" s="145"/>
      <c r="AL826" s="145"/>
      <c r="AM826" s="145"/>
      <c r="AN826" s="145"/>
      <c r="AO826" s="145"/>
      <c r="AP826" s="145"/>
      <c r="AQ826" s="145"/>
      <c r="AR826" s="145"/>
      <c r="AS826" s="145"/>
      <c r="AT826" s="145"/>
      <c r="AU826" s="145"/>
      <c r="AV826" s="146"/>
      <c r="AW826" s="146"/>
      <c r="AX826" s="146"/>
      <c r="AY826" s="146"/>
      <c r="AZ826" s="145"/>
      <c r="BA826" s="146"/>
      <c r="BB826" s="145"/>
      <c r="BC826" s="145"/>
      <c r="BD826" s="145"/>
      <c r="BE826" s="145"/>
      <c r="BF826" s="145"/>
      <c r="BG826" s="145"/>
      <c r="BH826" s="145"/>
      <c r="BI826" s="145"/>
      <c r="BJ826" s="145"/>
      <c r="BK826" s="145"/>
    </row>
    <row r="827" spans="1:63" s="147" customFormat="1" ht="15" x14ac:dyDescent="0.25">
      <c r="A827" s="59"/>
      <c r="B827" s="98"/>
      <c r="C827" s="102" t="s">
        <v>63</v>
      </c>
      <c r="D827" s="102"/>
      <c r="E827" s="102"/>
      <c r="F827" s="102"/>
      <c r="G827" s="102"/>
      <c r="H827" s="41"/>
      <c r="I827" s="42"/>
      <c r="J827" s="42"/>
      <c r="K827" s="42"/>
      <c r="L827" s="45"/>
      <c r="M827" s="42"/>
      <c r="N827" s="49">
        <v>30654.69</v>
      </c>
      <c r="O827" s="42"/>
      <c r="P827" s="50">
        <v>15831.074692082113</v>
      </c>
      <c r="Q827" s="82"/>
      <c r="R827" s="82"/>
      <c r="S827" s="82"/>
      <c r="T827" s="82"/>
      <c r="U827" s="156"/>
      <c r="V827" s="82"/>
      <c r="W827" s="164"/>
      <c r="X827" s="82"/>
      <c r="Y827" s="82"/>
      <c r="Z827" s="82"/>
      <c r="AA827" s="82"/>
      <c r="AB827" s="145"/>
      <c r="AC827" s="145"/>
      <c r="AD827" s="145"/>
      <c r="AE827" s="145"/>
      <c r="AF827" s="145"/>
      <c r="AG827" s="145"/>
      <c r="AH827" s="145"/>
      <c r="AI827" s="145"/>
      <c r="AJ827" s="145"/>
      <c r="AK827" s="145"/>
      <c r="AL827" s="145"/>
      <c r="AM827" s="145"/>
      <c r="AN827" s="145"/>
      <c r="AO827" s="145"/>
      <c r="AP827" s="145"/>
      <c r="AQ827" s="145"/>
      <c r="AR827" s="145"/>
      <c r="AS827" s="145"/>
      <c r="AT827" s="145"/>
      <c r="AU827" s="145"/>
      <c r="AV827" s="146"/>
      <c r="AW827" s="146"/>
      <c r="AX827" s="146"/>
      <c r="AY827" s="146"/>
      <c r="AZ827" s="145"/>
      <c r="BA827" s="146"/>
      <c r="BB827" s="145"/>
      <c r="BC827" s="145"/>
      <c r="BD827" s="145"/>
      <c r="BE827" s="145"/>
      <c r="BF827" s="145"/>
      <c r="BG827" s="145"/>
      <c r="BH827" s="145"/>
      <c r="BI827" s="145"/>
      <c r="BJ827" s="145"/>
      <c r="BK827" s="145"/>
    </row>
    <row r="828" spans="1:63" s="147" customFormat="1" ht="15" x14ac:dyDescent="0.25">
      <c r="A828" s="39" t="s">
        <v>719</v>
      </c>
      <c r="B828" s="97" t="s">
        <v>116</v>
      </c>
      <c r="C828" s="103" t="s">
        <v>117</v>
      </c>
      <c r="D828" s="103"/>
      <c r="E828" s="103"/>
      <c r="F828" s="103"/>
      <c r="G828" s="103"/>
      <c r="H828" s="41" t="s">
        <v>67</v>
      </c>
      <c r="I828" s="42">
        <f>115.94*4</f>
        <v>463.76</v>
      </c>
      <c r="J828" s="43">
        <v>1</v>
      </c>
      <c r="K828" s="62">
        <v>463.76</v>
      </c>
      <c r="L828" s="61">
        <v>17.34</v>
      </c>
      <c r="M828" s="62">
        <v>1.42</v>
      </c>
      <c r="N828" s="61">
        <v>24.62</v>
      </c>
      <c r="O828" s="42"/>
      <c r="P828" s="50">
        <v>13130.423999999999</v>
      </c>
      <c r="Q828" s="82"/>
      <c r="R828" s="82"/>
      <c r="S828" s="82"/>
      <c r="T828" s="82"/>
      <c r="U828" s="156"/>
      <c r="V828" s="82"/>
      <c r="W828" s="151"/>
      <c r="X828" s="82"/>
      <c r="Y828" s="82"/>
      <c r="Z828" s="82"/>
      <c r="AA828" s="82"/>
      <c r="AB828" s="145"/>
      <c r="AC828" s="145"/>
      <c r="AD828" s="145"/>
      <c r="AE828" s="145"/>
      <c r="AF828" s="145"/>
      <c r="AG828" s="145"/>
      <c r="AH828" s="145"/>
      <c r="AI828" s="145"/>
      <c r="AJ828" s="145"/>
      <c r="AK828" s="145"/>
      <c r="AL828" s="145"/>
      <c r="AM828" s="145"/>
      <c r="AN828" s="145"/>
      <c r="AO828" s="145"/>
      <c r="AP828" s="145"/>
      <c r="AQ828" s="145"/>
      <c r="AR828" s="145"/>
      <c r="AS828" s="145"/>
      <c r="AT828" s="145"/>
      <c r="AU828" s="145"/>
      <c r="AV828" s="146"/>
      <c r="AW828" s="146"/>
      <c r="AX828" s="146"/>
      <c r="AY828" s="146"/>
      <c r="AZ828" s="145"/>
      <c r="BA828" s="146"/>
      <c r="BB828" s="145"/>
      <c r="BC828" s="145"/>
      <c r="BD828" s="145"/>
      <c r="BE828" s="145"/>
      <c r="BF828" s="145"/>
      <c r="BG828" s="145"/>
      <c r="BH828" s="145"/>
      <c r="BI828" s="145"/>
      <c r="BJ828" s="145"/>
      <c r="BK828" s="145"/>
    </row>
    <row r="829" spans="1:63" s="147" customFormat="1" ht="15" x14ac:dyDescent="0.25">
      <c r="A829" s="59"/>
      <c r="B829" s="98"/>
      <c r="C829" s="102" t="s">
        <v>63</v>
      </c>
      <c r="D829" s="102"/>
      <c r="E829" s="102"/>
      <c r="F829" s="102"/>
      <c r="G829" s="102"/>
      <c r="H829" s="41"/>
      <c r="I829" s="42"/>
      <c r="J829" s="42"/>
      <c r="K829" s="42"/>
      <c r="L829" s="45"/>
      <c r="M829" s="42"/>
      <c r="N829" s="45"/>
      <c r="O829" s="42"/>
      <c r="P829" s="50">
        <v>13130.423999999999</v>
      </c>
      <c r="Q829" s="82"/>
      <c r="R829" s="82"/>
      <c r="S829" s="82"/>
      <c r="T829" s="82"/>
      <c r="U829" s="156"/>
      <c r="V829" s="82"/>
      <c r="W829" s="168"/>
      <c r="X829" s="82"/>
      <c r="Y829" s="82"/>
      <c r="Z829" s="82"/>
      <c r="AA829" s="82"/>
      <c r="AB829" s="145"/>
      <c r="AC829" s="145"/>
      <c r="AD829" s="145"/>
      <c r="AE829" s="145"/>
      <c r="AF829" s="145"/>
      <c r="AG829" s="145"/>
      <c r="AH829" s="145"/>
      <c r="AI829" s="145"/>
      <c r="AJ829" s="145"/>
      <c r="AK829" s="145"/>
      <c r="AL829" s="145"/>
      <c r="AM829" s="145"/>
      <c r="AN829" s="145"/>
      <c r="AO829" s="145"/>
      <c r="AP829" s="145"/>
      <c r="AQ829" s="145"/>
      <c r="AR829" s="145"/>
      <c r="AS829" s="145"/>
      <c r="AT829" s="145"/>
      <c r="AU829" s="145"/>
      <c r="AV829" s="146"/>
      <c r="AW829" s="146"/>
      <c r="AX829" s="146"/>
      <c r="AY829" s="146"/>
      <c r="AZ829" s="145"/>
      <c r="BA829" s="146"/>
      <c r="BB829" s="145"/>
      <c r="BC829" s="145"/>
      <c r="BD829" s="145"/>
      <c r="BE829" s="145"/>
      <c r="BF829" s="145"/>
      <c r="BG829" s="145"/>
      <c r="BH829" s="145"/>
      <c r="BI829" s="145"/>
      <c r="BJ829" s="145"/>
      <c r="BK829" s="145"/>
    </row>
    <row r="830" spans="1:63" s="147" customFormat="1" ht="15" x14ac:dyDescent="0.25">
      <c r="A830" s="39" t="s">
        <v>720</v>
      </c>
      <c r="B830" s="97" t="s">
        <v>119</v>
      </c>
      <c r="C830" s="103" t="s">
        <v>120</v>
      </c>
      <c r="D830" s="103"/>
      <c r="E830" s="103"/>
      <c r="F830" s="103"/>
      <c r="G830" s="103"/>
      <c r="H830" s="41" t="s">
        <v>105</v>
      </c>
      <c r="I830" s="42">
        <f>1*4.3*2+3</f>
        <v>11.6</v>
      </c>
      <c r="J830" s="43">
        <v>1</v>
      </c>
      <c r="K830" s="44">
        <v>11.6</v>
      </c>
      <c r="L830" s="61">
        <v>50.99</v>
      </c>
      <c r="M830" s="62">
        <v>1.1599999999999999</v>
      </c>
      <c r="N830" s="61">
        <v>59.15</v>
      </c>
      <c r="O830" s="42"/>
      <c r="P830" s="50">
        <v>789.05896728192738</v>
      </c>
      <c r="Q830" s="82"/>
      <c r="R830" s="82"/>
      <c r="S830" s="82"/>
      <c r="T830" s="82"/>
      <c r="U830" s="167"/>
      <c r="V830" s="82"/>
      <c r="W830" s="151"/>
      <c r="X830" s="82"/>
      <c r="Y830" s="82"/>
      <c r="Z830" s="82"/>
      <c r="AA830" s="82"/>
      <c r="AB830" s="145"/>
      <c r="AC830" s="145"/>
      <c r="AD830" s="145"/>
      <c r="AE830" s="145"/>
      <c r="AF830" s="145"/>
      <c r="AG830" s="145"/>
      <c r="AH830" s="145"/>
      <c r="AI830" s="145"/>
      <c r="AJ830" s="145"/>
      <c r="AK830" s="145"/>
      <c r="AL830" s="145"/>
      <c r="AM830" s="145"/>
      <c r="AN830" s="145"/>
      <c r="AO830" s="145"/>
      <c r="AP830" s="145"/>
      <c r="AQ830" s="145"/>
      <c r="AR830" s="145"/>
      <c r="AS830" s="145"/>
      <c r="AT830" s="145"/>
      <c r="AU830" s="145"/>
      <c r="AV830" s="146"/>
      <c r="AW830" s="146"/>
      <c r="AX830" s="146"/>
      <c r="AY830" s="146"/>
      <c r="AZ830" s="145"/>
      <c r="BA830" s="146"/>
      <c r="BB830" s="145"/>
      <c r="BC830" s="145"/>
      <c r="BD830" s="145"/>
      <c r="BE830" s="145"/>
      <c r="BF830" s="145"/>
      <c r="BG830" s="145"/>
      <c r="BH830" s="145"/>
      <c r="BI830" s="145"/>
      <c r="BJ830" s="145"/>
      <c r="BK830" s="145"/>
    </row>
    <row r="831" spans="1:63" s="147" customFormat="1" ht="15" x14ac:dyDescent="0.25">
      <c r="A831" s="59"/>
      <c r="B831" s="98"/>
      <c r="C831" s="102" t="s">
        <v>63</v>
      </c>
      <c r="D831" s="102"/>
      <c r="E831" s="102"/>
      <c r="F831" s="102"/>
      <c r="G831" s="102"/>
      <c r="H831" s="41"/>
      <c r="I831" s="42"/>
      <c r="J831" s="42"/>
      <c r="K831" s="42"/>
      <c r="L831" s="45"/>
      <c r="M831" s="42"/>
      <c r="N831" s="45"/>
      <c r="O831" s="42"/>
      <c r="P831" s="50">
        <v>789.05896728192738</v>
      </c>
      <c r="Q831" s="82"/>
      <c r="R831" s="82"/>
      <c r="S831" s="82"/>
      <c r="T831" s="82"/>
      <c r="U831" s="167"/>
      <c r="V831" s="82"/>
      <c r="W831" s="166"/>
      <c r="X831" s="82"/>
      <c r="Y831" s="82"/>
      <c r="Z831" s="82"/>
      <c r="AA831" s="82"/>
      <c r="AB831" s="145"/>
      <c r="AC831" s="145"/>
      <c r="AD831" s="145"/>
      <c r="AE831" s="145"/>
      <c r="AF831" s="145"/>
      <c r="AG831" s="145"/>
      <c r="AH831" s="145"/>
      <c r="AI831" s="145"/>
      <c r="AJ831" s="145"/>
      <c r="AK831" s="145"/>
      <c r="AL831" s="145"/>
      <c r="AM831" s="145"/>
      <c r="AN831" s="145"/>
      <c r="AO831" s="145"/>
      <c r="AP831" s="145"/>
      <c r="AQ831" s="145"/>
      <c r="AR831" s="145"/>
      <c r="AS831" s="145"/>
      <c r="AT831" s="145"/>
      <c r="AU831" s="145"/>
      <c r="AV831" s="146"/>
      <c r="AW831" s="146"/>
      <c r="AX831" s="146"/>
      <c r="AY831" s="146"/>
      <c r="AZ831" s="145"/>
      <c r="BA831" s="146"/>
      <c r="BB831" s="145"/>
      <c r="BC831" s="145"/>
      <c r="BD831" s="145"/>
      <c r="BE831" s="145"/>
      <c r="BF831" s="145"/>
      <c r="BG831" s="145"/>
      <c r="BH831" s="145"/>
      <c r="BI831" s="145"/>
      <c r="BJ831" s="145"/>
      <c r="BK831" s="145"/>
    </row>
    <row r="832" spans="1:63" s="147" customFormat="1" ht="15" x14ac:dyDescent="0.25">
      <c r="A832" s="39" t="s">
        <v>721</v>
      </c>
      <c r="B832" s="97" t="s">
        <v>110</v>
      </c>
      <c r="C832" s="103" t="s">
        <v>111</v>
      </c>
      <c r="D832" s="103"/>
      <c r="E832" s="103"/>
      <c r="F832" s="103"/>
      <c r="G832" s="103"/>
      <c r="H832" s="41" t="s">
        <v>67</v>
      </c>
      <c r="I832" s="42">
        <v>2.7280000000000002</v>
      </c>
      <c r="J832" s="43">
        <v>1</v>
      </c>
      <c r="K832" s="66">
        <v>2.7280000000000002</v>
      </c>
      <c r="L832" s="61">
        <v>65.84</v>
      </c>
      <c r="M832" s="67">
        <v>1.2</v>
      </c>
      <c r="N832" s="61">
        <v>79.010000000000005</v>
      </c>
      <c r="O832" s="42"/>
      <c r="P832" s="50">
        <v>247.87099999999998</v>
      </c>
      <c r="Q832" s="82"/>
      <c r="R832" s="82"/>
      <c r="S832" s="82"/>
      <c r="T832" s="82"/>
      <c r="U832" s="167"/>
      <c r="V832" s="82"/>
      <c r="W832" s="151"/>
      <c r="X832" s="82"/>
      <c r="Y832" s="82"/>
      <c r="Z832" s="82"/>
      <c r="AA832" s="82"/>
      <c r="AB832" s="145"/>
      <c r="AC832" s="145"/>
      <c r="AD832" s="145"/>
      <c r="AE832" s="145"/>
      <c r="AF832" s="145"/>
      <c r="AG832" s="145"/>
      <c r="AH832" s="145"/>
      <c r="AI832" s="145"/>
      <c r="AJ832" s="145"/>
      <c r="AK832" s="145"/>
      <c r="AL832" s="145"/>
      <c r="AM832" s="145"/>
      <c r="AN832" s="145"/>
      <c r="AO832" s="145"/>
      <c r="AP832" s="145"/>
      <c r="AQ832" s="145"/>
      <c r="AR832" s="145"/>
      <c r="AS832" s="145"/>
      <c r="AT832" s="145"/>
      <c r="AU832" s="145"/>
      <c r="AV832" s="146"/>
      <c r="AW832" s="146"/>
      <c r="AX832" s="146"/>
      <c r="AY832" s="146"/>
      <c r="AZ832" s="145"/>
      <c r="BA832" s="146"/>
      <c r="BB832" s="145"/>
      <c r="BC832" s="145"/>
      <c r="BD832" s="145"/>
      <c r="BE832" s="145"/>
      <c r="BF832" s="145"/>
      <c r="BG832" s="145"/>
      <c r="BH832" s="145"/>
      <c r="BI832" s="145"/>
      <c r="BJ832" s="145"/>
      <c r="BK832" s="145"/>
    </row>
    <row r="833" spans="1:63" s="147" customFormat="1" ht="15" x14ac:dyDescent="0.25">
      <c r="A833" s="59"/>
      <c r="B833" s="98"/>
      <c r="C833" s="102" t="s">
        <v>63</v>
      </c>
      <c r="D833" s="102"/>
      <c r="E833" s="102"/>
      <c r="F833" s="102"/>
      <c r="G833" s="102"/>
      <c r="H833" s="41"/>
      <c r="I833" s="42"/>
      <c r="J833" s="42"/>
      <c r="K833" s="42"/>
      <c r="L833" s="45"/>
      <c r="M833" s="42"/>
      <c r="N833" s="45"/>
      <c r="O833" s="42"/>
      <c r="P833" s="50">
        <v>247.87099999999998</v>
      </c>
      <c r="Q833" s="82"/>
      <c r="R833" s="82"/>
      <c r="S833" s="82"/>
      <c r="T833" s="82"/>
      <c r="U833" s="167"/>
      <c r="V833" s="82"/>
      <c r="W833" s="171"/>
      <c r="X833" s="82"/>
      <c r="Y833" s="82"/>
      <c r="Z833" s="82"/>
      <c r="AA833" s="82"/>
      <c r="AB833" s="145"/>
      <c r="AC833" s="145"/>
      <c r="AD833" s="145"/>
      <c r="AE833" s="145"/>
      <c r="AF833" s="145"/>
      <c r="AG833" s="145"/>
      <c r="AH833" s="145"/>
      <c r="AI833" s="145"/>
      <c r="AJ833" s="145"/>
      <c r="AK833" s="145"/>
      <c r="AL833" s="145"/>
      <c r="AM833" s="145"/>
      <c r="AN833" s="145"/>
      <c r="AO833" s="145"/>
      <c r="AP833" s="145"/>
      <c r="AQ833" s="145"/>
      <c r="AR833" s="145"/>
      <c r="AS833" s="145"/>
      <c r="AT833" s="145"/>
      <c r="AU833" s="145"/>
      <c r="AV833" s="146"/>
      <c r="AW833" s="146"/>
      <c r="AX833" s="146"/>
      <c r="AY833" s="146"/>
      <c r="AZ833" s="145"/>
      <c r="BA833" s="146"/>
      <c r="BB833" s="145"/>
      <c r="BC833" s="145"/>
      <c r="BD833" s="145"/>
      <c r="BE833" s="145"/>
      <c r="BF833" s="145"/>
      <c r="BG833" s="145"/>
      <c r="BH833" s="145"/>
      <c r="BI833" s="145"/>
      <c r="BJ833" s="145"/>
      <c r="BK833" s="145"/>
    </row>
    <row r="834" spans="1:63" s="147" customFormat="1" ht="15" x14ac:dyDescent="0.25">
      <c r="A834" s="39" t="s">
        <v>555</v>
      </c>
      <c r="B834" s="97" t="s">
        <v>123</v>
      </c>
      <c r="C834" s="103" t="s">
        <v>124</v>
      </c>
      <c r="D834" s="103"/>
      <c r="E834" s="103"/>
      <c r="F834" s="103"/>
      <c r="G834" s="103"/>
      <c r="H834" s="41" t="s">
        <v>125</v>
      </c>
      <c r="I834" s="42">
        <v>0.27</v>
      </c>
      <c r="J834" s="43">
        <v>1</v>
      </c>
      <c r="K834" s="62">
        <v>0.27</v>
      </c>
      <c r="L834" s="45"/>
      <c r="M834" s="42"/>
      <c r="N834" s="45"/>
      <c r="O834" s="42"/>
      <c r="P834" s="50"/>
      <c r="Q834" s="82"/>
      <c r="R834" s="82"/>
      <c r="S834" s="82"/>
      <c r="T834" s="82"/>
      <c r="U834" s="153"/>
      <c r="V834" s="82"/>
      <c r="W834" s="151"/>
      <c r="X834" s="82"/>
      <c r="Y834" s="82"/>
      <c r="Z834" s="82"/>
      <c r="AA834" s="82"/>
      <c r="AB834" s="145"/>
      <c r="AC834" s="145"/>
      <c r="AD834" s="145"/>
      <c r="AE834" s="145"/>
      <c r="AF834" s="145"/>
      <c r="AG834" s="145"/>
      <c r="AH834" s="145"/>
      <c r="AI834" s="145"/>
      <c r="AJ834" s="145"/>
      <c r="AK834" s="145"/>
      <c r="AL834" s="145"/>
      <c r="AM834" s="145"/>
      <c r="AN834" s="145"/>
      <c r="AO834" s="145"/>
      <c r="AP834" s="145"/>
      <c r="AQ834" s="145"/>
      <c r="AR834" s="145"/>
      <c r="AS834" s="145"/>
      <c r="AT834" s="145"/>
      <c r="AU834" s="145"/>
      <c r="AV834" s="146"/>
      <c r="AW834" s="146"/>
      <c r="AX834" s="146"/>
      <c r="AY834" s="146"/>
      <c r="AZ834" s="145"/>
      <c r="BA834" s="146"/>
      <c r="BB834" s="145"/>
      <c r="BC834" s="145"/>
      <c r="BD834" s="145"/>
      <c r="BE834" s="145"/>
      <c r="BF834" s="145"/>
      <c r="BG834" s="145"/>
      <c r="BH834" s="145"/>
      <c r="BI834" s="145"/>
      <c r="BJ834" s="145"/>
      <c r="BK834" s="145"/>
    </row>
    <row r="835" spans="1:63" s="147" customFormat="1" ht="15" x14ac:dyDescent="0.25">
      <c r="A835" s="47"/>
      <c r="B835" s="48"/>
      <c r="C835" s="102" t="s">
        <v>56</v>
      </c>
      <c r="D835" s="102"/>
      <c r="E835" s="102"/>
      <c r="F835" s="102"/>
      <c r="G835" s="102"/>
      <c r="H835" s="41"/>
      <c r="I835" s="42"/>
      <c r="J835" s="42"/>
      <c r="K835" s="42"/>
      <c r="L835" s="45"/>
      <c r="M835" s="42"/>
      <c r="N835" s="49"/>
      <c r="O835" s="42"/>
      <c r="P835" s="50">
        <v>844.41049999999996</v>
      </c>
      <c r="Q835" s="157"/>
      <c r="R835" s="157"/>
      <c r="S835" s="82"/>
      <c r="T835" s="82"/>
      <c r="U835" s="156"/>
      <c r="V835" s="82"/>
      <c r="W835" s="168"/>
      <c r="X835" s="82"/>
      <c r="Y835" s="82"/>
      <c r="Z835" s="82"/>
      <c r="AA835" s="82"/>
      <c r="AB835" s="145"/>
      <c r="AC835" s="145"/>
      <c r="AD835" s="145"/>
      <c r="AE835" s="145"/>
      <c r="AF835" s="145"/>
      <c r="AG835" s="145"/>
      <c r="AH835" s="145"/>
      <c r="AI835" s="145"/>
      <c r="AJ835" s="145"/>
      <c r="AK835" s="145"/>
      <c r="AL835" s="145"/>
      <c r="AM835" s="145"/>
      <c r="AN835" s="145"/>
      <c r="AO835" s="145"/>
      <c r="AP835" s="145"/>
      <c r="AQ835" s="145"/>
      <c r="AR835" s="145"/>
      <c r="AS835" s="145"/>
      <c r="AT835" s="145"/>
      <c r="AU835" s="145"/>
      <c r="AV835" s="146"/>
      <c r="AW835" s="146"/>
      <c r="AX835" s="146"/>
      <c r="AY835" s="146"/>
      <c r="AZ835" s="145"/>
      <c r="BA835" s="146"/>
      <c r="BB835" s="145"/>
      <c r="BC835" s="145"/>
      <c r="BD835" s="145"/>
      <c r="BE835" s="145"/>
      <c r="BF835" s="145"/>
      <c r="BG835" s="145"/>
      <c r="BH835" s="145"/>
      <c r="BI835" s="145"/>
      <c r="BJ835" s="145"/>
      <c r="BK835" s="145"/>
    </row>
    <row r="836" spans="1:63" s="147" customFormat="1" ht="15" x14ac:dyDescent="0.25">
      <c r="A836" s="52"/>
      <c r="B836" s="53"/>
      <c r="C836" s="104" t="s">
        <v>57</v>
      </c>
      <c r="D836" s="104"/>
      <c r="E836" s="104"/>
      <c r="F836" s="104"/>
      <c r="G836" s="104"/>
      <c r="H836" s="54"/>
      <c r="I836" s="55"/>
      <c r="J836" s="55"/>
      <c r="K836" s="55"/>
      <c r="L836" s="56"/>
      <c r="M836" s="55"/>
      <c r="N836" s="56"/>
      <c r="O836" s="55"/>
      <c r="P836" s="77">
        <v>764.66949999999986</v>
      </c>
      <c r="Q836" s="82"/>
      <c r="R836" s="82"/>
      <c r="S836" s="82"/>
      <c r="T836" s="82"/>
      <c r="U836" s="170"/>
      <c r="V836" s="82"/>
      <c r="W836" s="151"/>
      <c r="X836" s="82"/>
      <c r="Y836" s="82"/>
      <c r="Z836" s="82"/>
      <c r="AA836" s="82"/>
      <c r="AB836" s="145"/>
      <c r="AC836" s="145"/>
      <c r="AD836" s="145"/>
      <c r="AE836" s="145"/>
      <c r="AF836" s="145"/>
      <c r="AG836" s="145"/>
      <c r="AH836" s="145"/>
      <c r="AI836" s="145"/>
      <c r="AJ836" s="145"/>
      <c r="AK836" s="145"/>
      <c r="AL836" s="145"/>
      <c r="AM836" s="145"/>
      <c r="AN836" s="145"/>
      <c r="AO836" s="145"/>
      <c r="AP836" s="145"/>
      <c r="AQ836" s="145"/>
      <c r="AR836" s="145"/>
      <c r="AS836" s="145"/>
      <c r="AT836" s="145"/>
      <c r="AU836" s="145"/>
      <c r="AV836" s="146"/>
      <c r="AW836" s="146"/>
      <c r="AX836" s="146"/>
      <c r="AY836" s="146"/>
      <c r="AZ836" s="145"/>
      <c r="BA836" s="146"/>
      <c r="BB836" s="145"/>
      <c r="BC836" s="145"/>
      <c r="BD836" s="145"/>
      <c r="BE836" s="145"/>
      <c r="BF836" s="145"/>
      <c r="BG836" s="145"/>
      <c r="BH836" s="145"/>
      <c r="BI836" s="145"/>
      <c r="BJ836" s="145"/>
      <c r="BK836" s="145"/>
    </row>
    <row r="837" spans="1:63" s="147" customFormat="1" ht="15" x14ac:dyDescent="0.25">
      <c r="A837" s="52"/>
      <c r="B837" s="53" t="s">
        <v>98</v>
      </c>
      <c r="C837" s="104" t="s">
        <v>99</v>
      </c>
      <c r="D837" s="104"/>
      <c r="E837" s="104"/>
      <c r="F837" s="104"/>
      <c r="G837" s="104"/>
      <c r="H837" s="54" t="s">
        <v>60</v>
      </c>
      <c r="I837" s="58">
        <v>108</v>
      </c>
      <c r="J837" s="55"/>
      <c r="K837" s="58">
        <v>108</v>
      </c>
      <c r="L837" s="56"/>
      <c r="M837" s="55"/>
      <c r="N837" s="56"/>
      <c r="O837" s="55"/>
      <c r="P837" s="77">
        <v>825.83799999999997</v>
      </c>
      <c r="Q837" s="82"/>
      <c r="R837" s="82"/>
      <c r="S837" s="82"/>
      <c r="T837" s="82"/>
      <c r="U837" s="170"/>
      <c r="V837" s="82"/>
      <c r="W837" s="160"/>
      <c r="X837" s="82"/>
      <c r="Y837" s="82"/>
      <c r="Z837" s="82"/>
      <c r="AA837" s="82"/>
      <c r="AB837" s="145"/>
      <c r="AC837" s="145"/>
      <c r="AD837" s="145"/>
      <c r="AE837" s="145"/>
      <c r="AF837" s="145"/>
      <c r="AG837" s="145"/>
      <c r="AH837" s="145"/>
      <c r="AI837" s="145"/>
      <c r="AJ837" s="145"/>
      <c r="AK837" s="145"/>
      <c r="AL837" s="145"/>
      <c r="AM837" s="145"/>
      <c r="AN837" s="145"/>
      <c r="AO837" s="145"/>
      <c r="AP837" s="145"/>
      <c r="AQ837" s="145"/>
      <c r="AR837" s="145"/>
      <c r="AS837" s="145"/>
      <c r="AT837" s="145"/>
      <c r="AU837" s="145"/>
      <c r="AV837" s="146"/>
      <c r="AW837" s="146"/>
      <c r="AX837" s="146"/>
      <c r="AY837" s="146"/>
      <c r="AZ837" s="145"/>
      <c r="BA837" s="146"/>
      <c r="BB837" s="145"/>
      <c r="BC837" s="145"/>
      <c r="BD837" s="145"/>
      <c r="BE837" s="145"/>
      <c r="BF837" s="145"/>
      <c r="BG837" s="145"/>
      <c r="BH837" s="145"/>
      <c r="BI837" s="145"/>
      <c r="BJ837" s="145"/>
      <c r="BK837" s="145"/>
    </row>
    <row r="838" spans="1:63" s="147" customFormat="1" ht="15" x14ac:dyDescent="0.25">
      <c r="A838" s="52"/>
      <c r="B838" s="53" t="s">
        <v>100</v>
      </c>
      <c r="C838" s="104" t="s">
        <v>101</v>
      </c>
      <c r="D838" s="104"/>
      <c r="E838" s="104"/>
      <c r="F838" s="104"/>
      <c r="G838" s="104"/>
      <c r="H838" s="54" t="s">
        <v>60</v>
      </c>
      <c r="I838" s="58">
        <v>55</v>
      </c>
      <c r="J838" s="55"/>
      <c r="K838" s="58">
        <v>55</v>
      </c>
      <c r="L838" s="56"/>
      <c r="M838" s="55"/>
      <c r="N838" s="56"/>
      <c r="O838" s="55"/>
      <c r="P838" s="77">
        <v>420.56649999999996</v>
      </c>
      <c r="Q838" s="82"/>
      <c r="R838" s="82"/>
      <c r="S838" s="82"/>
      <c r="T838" s="82"/>
      <c r="U838" s="170"/>
      <c r="V838" s="82"/>
      <c r="W838" s="164"/>
      <c r="X838" s="82"/>
      <c r="Y838" s="82"/>
      <c r="Z838" s="82"/>
      <c r="AA838" s="82"/>
      <c r="AB838" s="145"/>
      <c r="AC838" s="145"/>
      <c r="AD838" s="145"/>
      <c r="AE838" s="145"/>
      <c r="AF838" s="145"/>
      <c r="AG838" s="145"/>
      <c r="AH838" s="145"/>
      <c r="AI838" s="145"/>
      <c r="AJ838" s="145"/>
      <c r="AK838" s="145"/>
      <c r="AL838" s="145"/>
      <c r="AM838" s="145"/>
      <c r="AN838" s="145"/>
      <c r="AO838" s="145"/>
      <c r="AP838" s="145"/>
      <c r="AQ838" s="145"/>
      <c r="AR838" s="145"/>
      <c r="AS838" s="145"/>
      <c r="AT838" s="145"/>
      <c r="AU838" s="145"/>
      <c r="AV838" s="146"/>
      <c r="AW838" s="146"/>
      <c r="AX838" s="146"/>
      <c r="AY838" s="146"/>
      <c r="AZ838" s="145"/>
      <c r="BA838" s="146"/>
      <c r="BB838" s="145"/>
      <c r="BC838" s="145"/>
      <c r="BD838" s="145"/>
      <c r="BE838" s="145"/>
      <c r="BF838" s="145"/>
      <c r="BG838" s="145"/>
      <c r="BH838" s="145"/>
      <c r="BI838" s="145"/>
      <c r="BJ838" s="145"/>
      <c r="BK838" s="145"/>
    </row>
    <row r="839" spans="1:63" s="147" customFormat="1" ht="15" x14ac:dyDescent="0.25">
      <c r="A839" s="59"/>
      <c r="B839" s="98"/>
      <c r="C839" s="102" t="s">
        <v>63</v>
      </c>
      <c r="D839" s="102"/>
      <c r="E839" s="102"/>
      <c r="F839" s="102"/>
      <c r="G839" s="102"/>
      <c r="H839" s="41"/>
      <c r="I839" s="42"/>
      <c r="J839" s="42"/>
      <c r="K839" s="42"/>
      <c r="L839" s="45"/>
      <c r="M839" s="42"/>
      <c r="N839" s="49">
        <v>6733.7</v>
      </c>
      <c r="O839" s="42"/>
      <c r="P839" s="50">
        <v>2090.8149999999996</v>
      </c>
      <c r="Q839" s="82"/>
      <c r="R839" s="82"/>
      <c r="S839" s="82"/>
      <c r="T839" s="82"/>
      <c r="U839" s="156"/>
      <c r="V839" s="82"/>
      <c r="W839" s="164"/>
      <c r="X839" s="82"/>
      <c r="Y839" s="82"/>
      <c r="Z839" s="82"/>
      <c r="AA839" s="82"/>
      <c r="AB839" s="145"/>
      <c r="AC839" s="145"/>
      <c r="AD839" s="145"/>
      <c r="AE839" s="145"/>
      <c r="AF839" s="145"/>
      <c r="AG839" s="145"/>
      <c r="AH839" s="145"/>
      <c r="AI839" s="145"/>
      <c r="AJ839" s="145"/>
      <c r="AK839" s="145"/>
      <c r="AL839" s="145"/>
      <c r="AM839" s="145"/>
      <c r="AN839" s="145"/>
      <c r="AO839" s="145"/>
      <c r="AP839" s="145"/>
      <c r="AQ839" s="145"/>
      <c r="AR839" s="145"/>
      <c r="AS839" s="145"/>
      <c r="AT839" s="145"/>
      <c r="AU839" s="145"/>
      <c r="AV839" s="146"/>
      <c r="AW839" s="146"/>
      <c r="AX839" s="146"/>
      <c r="AY839" s="146"/>
      <c r="AZ839" s="145"/>
      <c r="BA839" s="146"/>
      <c r="BB839" s="145"/>
      <c r="BC839" s="145"/>
      <c r="BD839" s="145"/>
      <c r="BE839" s="145"/>
      <c r="BF839" s="145"/>
      <c r="BG839" s="145"/>
      <c r="BH839" s="145"/>
      <c r="BI839" s="145"/>
      <c r="BJ839" s="145"/>
      <c r="BK839" s="145"/>
    </row>
    <row r="840" spans="1:63" s="147" customFormat="1" ht="15" x14ac:dyDescent="0.25">
      <c r="A840" s="39" t="s">
        <v>722</v>
      </c>
      <c r="B840" s="97" t="s">
        <v>127</v>
      </c>
      <c r="C840" s="103" t="s">
        <v>128</v>
      </c>
      <c r="D840" s="103"/>
      <c r="E840" s="103"/>
      <c r="F840" s="103"/>
      <c r="G840" s="103"/>
      <c r="H840" s="41" t="s">
        <v>129</v>
      </c>
      <c r="I840" s="42">
        <v>2.7</v>
      </c>
      <c r="J840" s="43">
        <v>1</v>
      </c>
      <c r="K840" s="43">
        <v>2.7</v>
      </c>
      <c r="L840" s="61">
        <v>94.58</v>
      </c>
      <c r="M840" s="62">
        <v>1.17</v>
      </c>
      <c r="N840" s="61">
        <v>1106.5999999999999</v>
      </c>
      <c r="O840" s="42"/>
      <c r="P840" s="50">
        <v>3435.9929999999999</v>
      </c>
      <c r="Q840" s="82"/>
      <c r="R840" s="82"/>
      <c r="S840" s="82"/>
      <c r="T840" s="82"/>
      <c r="U840" s="156"/>
      <c r="V840" s="82"/>
      <c r="W840" s="151"/>
      <c r="X840" s="82"/>
      <c r="Y840" s="82"/>
      <c r="Z840" s="82"/>
      <c r="AA840" s="82"/>
      <c r="AB840" s="145"/>
      <c r="AC840" s="145"/>
      <c r="AD840" s="145"/>
      <c r="AE840" s="145"/>
      <c r="AF840" s="145"/>
      <c r="AG840" s="145"/>
      <c r="AH840" s="145"/>
      <c r="AI840" s="145"/>
      <c r="AJ840" s="145"/>
      <c r="AK840" s="145"/>
      <c r="AL840" s="145"/>
      <c r="AM840" s="145"/>
      <c r="AN840" s="145"/>
      <c r="AO840" s="145"/>
      <c r="AP840" s="145"/>
      <c r="AQ840" s="145"/>
      <c r="AR840" s="145"/>
      <c r="AS840" s="145"/>
      <c r="AT840" s="145"/>
      <c r="AU840" s="145"/>
      <c r="AV840" s="146"/>
      <c r="AW840" s="146"/>
      <c r="AX840" s="146"/>
      <c r="AY840" s="146"/>
      <c r="AZ840" s="145"/>
      <c r="BA840" s="146"/>
      <c r="BB840" s="145"/>
      <c r="BC840" s="145"/>
      <c r="BD840" s="145"/>
      <c r="BE840" s="145"/>
      <c r="BF840" s="145"/>
      <c r="BG840" s="145"/>
      <c r="BH840" s="145"/>
      <c r="BI840" s="145"/>
      <c r="BJ840" s="145"/>
      <c r="BK840" s="145"/>
    </row>
    <row r="841" spans="1:63" s="147" customFormat="1" ht="15" x14ac:dyDescent="0.25">
      <c r="A841" s="59"/>
      <c r="B841" s="98"/>
      <c r="C841" s="102" t="s">
        <v>63</v>
      </c>
      <c r="D841" s="102"/>
      <c r="E841" s="102"/>
      <c r="F841" s="102"/>
      <c r="G841" s="102"/>
      <c r="H841" s="41"/>
      <c r="I841" s="42"/>
      <c r="J841" s="42"/>
      <c r="K841" s="42"/>
      <c r="L841" s="45"/>
      <c r="M841" s="42"/>
      <c r="N841" s="45"/>
      <c r="O841" s="42"/>
      <c r="P841" s="50">
        <v>3435.9929999999999</v>
      </c>
      <c r="Q841" s="82"/>
      <c r="R841" s="82"/>
      <c r="S841" s="82"/>
      <c r="T841" s="82"/>
      <c r="U841" s="156"/>
      <c r="V841" s="82"/>
      <c r="W841" s="152"/>
      <c r="X841" s="82"/>
      <c r="Y841" s="82"/>
      <c r="Z841" s="82"/>
      <c r="AA841" s="82"/>
      <c r="AB841" s="145"/>
      <c r="AC841" s="145"/>
      <c r="AD841" s="145"/>
      <c r="AE841" s="145"/>
      <c r="AF841" s="145"/>
      <c r="AG841" s="145"/>
      <c r="AH841" s="145"/>
      <c r="AI841" s="145"/>
      <c r="AJ841" s="145"/>
      <c r="AK841" s="145"/>
      <c r="AL841" s="145"/>
      <c r="AM841" s="145"/>
      <c r="AN841" s="145"/>
      <c r="AO841" s="145"/>
      <c r="AP841" s="145"/>
      <c r="AQ841" s="145"/>
      <c r="AR841" s="145"/>
      <c r="AS841" s="145"/>
      <c r="AT841" s="145"/>
      <c r="AU841" s="145"/>
      <c r="AV841" s="146"/>
      <c r="AW841" s="146"/>
      <c r="AX841" s="146"/>
      <c r="AY841" s="146"/>
      <c r="AZ841" s="145"/>
      <c r="BA841" s="146"/>
      <c r="BB841" s="145"/>
      <c r="BC841" s="145"/>
      <c r="BD841" s="145"/>
      <c r="BE841" s="145"/>
      <c r="BF841" s="145"/>
      <c r="BG841" s="145"/>
      <c r="BH841" s="145"/>
      <c r="BI841" s="145"/>
      <c r="BJ841" s="145"/>
      <c r="BK841" s="145"/>
    </row>
    <row r="842" spans="1:63" s="147" customFormat="1" ht="15" x14ac:dyDescent="0.25">
      <c r="A842" s="39" t="s">
        <v>723</v>
      </c>
      <c r="B842" s="97" t="s">
        <v>131</v>
      </c>
      <c r="C842" s="103" t="s">
        <v>132</v>
      </c>
      <c r="D842" s="103"/>
      <c r="E842" s="103"/>
      <c r="F842" s="103"/>
      <c r="G842" s="103"/>
      <c r="H842" s="41" t="s">
        <v>55</v>
      </c>
      <c r="I842" s="42">
        <v>0.11600000000000001</v>
      </c>
      <c r="J842" s="43">
        <v>1</v>
      </c>
      <c r="K842" s="44">
        <v>0.11600000000000001</v>
      </c>
      <c r="L842" s="45"/>
      <c r="M842" s="42"/>
      <c r="N842" s="45"/>
      <c r="O842" s="42"/>
      <c r="P842" s="50"/>
      <c r="Q842" s="82"/>
      <c r="R842" s="82"/>
      <c r="S842" s="82"/>
      <c r="T842" s="82"/>
      <c r="U842" s="153"/>
      <c r="V842" s="82"/>
      <c r="W842" s="151"/>
      <c r="X842" s="82"/>
      <c r="Y842" s="82"/>
      <c r="Z842" s="82"/>
      <c r="AA842" s="82"/>
      <c r="AB842" s="145"/>
      <c r="AC842" s="145"/>
      <c r="AD842" s="145"/>
      <c r="AE842" s="145"/>
      <c r="AF842" s="145"/>
      <c r="AG842" s="145"/>
      <c r="AH842" s="145"/>
      <c r="AI842" s="145"/>
      <c r="AJ842" s="145"/>
      <c r="AK842" s="145"/>
      <c r="AL842" s="145"/>
      <c r="AM842" s="145"/>
      <c r="AN842" s="145"/>
      <c r="AO842" s="145"/>
      <c r="AP842" s="145"/>
      <c r="AQ842" s="145"/>
      <c r="AR842" s="145"/>
      <c r="AS842" s="145"/>
      <c r="AT842" s="145"/>
      <c r="AU842" s="145"/>
      <c r="AV842" s="146"/>
      <c r="AW842" s="146"/>
      <c r="AX842" s="146"/>
      <c r="AY842" s="146"/>
      <c r="AZ842" s="145"/>
      <c r="BA842" s="146"/>
      <c r="BB842" s="145"/>
      <c r="BC842" s="145"/>
      <c r="BD842" s="145"/>
      <c r="BE842" s="145"/>
      <c r="BF842" s="145"/>
      <c r="BG842" s="145"/>
      <c r="BH842" s="145"/>
      <c r="BI842" s="145"/>
      <c r="BJ842" s="145"/>
      <c r="BK842" s="145"/>
    </row>
    <row r="843" spans="1:63" s="147" customFormat="1" ht="15" x14ac:dyDescent="0.25">
      <c r="A843" s="47"/>
      <c r="B843" s="48"/>
      <c r="C843" s="102" t="s">
        <v>56</v>
      </c>
      <c r="D843" s="102"/>
      <c r="E843" s="102"/>
      <c r="F843" s="102"/>
      <c r="G843" s="102"/>
      <c r="H843" s="41"/>
      <c r="I843" s="42"/>
      <c r="J843" s="42"/>
      <c r="K843" s="42"/>
      <c r="L843" s="45"/>
      <c r="M843" s="42"/>
      <c r="N843" s="49"/>
      <c r="O843" s="42"/>
      <c r="P843" s="50">
        <v>3346.4539999999997</v>
      </c>
      <c r="Q843" s="157"/>
      <c r="R843" s="157"/>
      <c r="S843" s="82"/>
      <c r="T843" s="82"/>
      <c r="U843" s="156"/>
      <c r="V843" s="82"/>
      <c r="W843" s="166"/>
      <c r="X843" s="82"/>
      <c r="Y843" s="82"/>
      <c r="Z843" s="82"/>
      <c r="AA843" s="82"/>
      <c r="AB843" s="145"/>
      <c r="AC843" s="145"/>
      <c r="AD843" s="145"/>
      <c r="AE843" s="145"/>
      <c r="AF843" s="145"/>
      <c r="AG843" s="145"/>
      <c r="AH843" s="145"/>
      <c r="AI843" s="145"/>
      <c r="AJ843" s="145"/>
      <c r="AK843" s="145"/>
      <c r="AL843" s="145"/>
      <c r="AM843" s="145"/>
      <c r="AN843" s="145"/>
      <c r="AO843" s="145"/>
      <c r="AP843" s="145"/>
      <c r="AQ843" s="145"/>
      <c r="AR843" s="145"/>
      <c r="AS843" s="145"/>
      <c r="AT843" s="145"/>
      <c r="AU843" s="145"/>
      <c r="AV843" s="146"/>
      <c r="AW843" s="146"/>
      <c r="AX843" s="146"/>
      <c r="AY843" s="146"/>
      <c r="AZ843" s="145"/>
      <c r="BA843" s="146"/>
      <c r="BB843" s="145"/>
      <c r="BC843" s="145"/>
      <c r="BD843" s="145"/>
      <c r="BE843" s="145"/>
      <c r="BF843" s="145"/>
      <c r="BG843" s="145"/>
      <c r="BH843" s="145"/>
      <c r="BI843" s="145"/>
      <c r="BJ843" s="145"/>
      <c r="BK843" s="145"/>
    </row>
    <row r="844" spans="1:63" s="147" customFormat="1" ht="15" x14ac:dyDescent="0.25">
      <c r="A844" s="52"/>
      <c r="B844" s="53"/>
      <c r="C844" s="104" t="s">
        <v>57</v>
      </c>
      <c r="D844" s="104"/>
      <c r="E844" s="104"/>
      <c r="F844" s="104"/>
      <c r="G844" s="104"/>
      <c r="H844" s="54"/>
      <c r="I844" s="55"/>
      <c r="J844" s="55"/>
      <c r="K844" s="55"/>
      <c r="L844" s="56"/>
      <c r="M844" s="55"/>
      <c r="N844" s="56"/>
      <c r="O844" s="55"/>
      <c r="P844" s="77">
        <v>2585.7059999999997</v>
      </c>
      <c r="Q844" s="82"/>
      <c r="R844" s="82"/>
      <c r="S844" s="82"/>
      <c r="T844" s="82"/>
      <c r="U844" s="163"/>
      <c r="V844" s="82"/>
      <c r="W844" s="151"/>
      <c r="X844" s="82"/>
      <c r="Y844" s="82"/>
      <c r="Z844" s="82"/>
      <c r="AA844" s="82"/>
      <c r="AB844" s="145"/>
      <c r="AC844" s="145"/>
      <c r="AD844" s="145"/>
      <c r="AE844" s="145"/>
      <c r="AF844" s="145"/>
      <c r="AG844" s="145"/>
      <c r="AH844" s="145"/>
      <c r="AI844" s="145"/>
      <c r="AJ844" s="145"/>
      <c r="AK844" s="145"/>
      <c r="AL844" s="145"/>
      <c r="AM844" s="145"/>
      <c r="AN844" s="145"/>
      <c r="AO844" s="145"/>
      <c r="AP844" s="145"/>
      <c r="AQ844" s="145"/>
      <c r="AR844" s="145"/>
      <c r="AS844" s="145"/>
      <c r="AT844" s="145"/>
      <c r="AU844" s="145"/>
      <c r="AV844" s="146"/>
      <c r="AW844" s="146"/>
      <c r="AX844" s="146"/>
      <c r="AY844" s="146"/>
      <c r="AZ844" s="145"/>
      <c r="BA844" s="146"/>
      <c r="BB844" s="145"/>
      <c r="BC844" s="145"/>
      <c r="BD844" s="145"/>
      <c r="BE844" s="145"/>
      <c r="BF844" s="145"/>
      <c r="BG844" s="145"/>
      <c r="BH844" s="145"/>
      <c r="BI844" s="145"/>
      <c r="BJ844" s="145"/>
      <c r="BK844" s="145"/>
    </row>
    <row r="845" spans="1:63" s="147" customFormat="1" ht="15" x14ac:dyDescent="0.25">
      <c r="A845" s="52"/>
      <c r="B845" s="53" t="s">
        <v>58</v>
      </c>
      <c r="C845" s="104" t="s">
        <v>59</v>
      </c>
      <c r="D845" s="104"/>
      <c r="E845" s="104"/>
      <c r="F845" s="104"/>
      <c r="G845" s="104"/>
      <c r="H845" s="54" t="s">
        <v>60</v>
      </c>
      <c r="I845" s="58">
        <v>100</v>
      </c>
      <c r="J845" s="55"/>
      <c r="K845" s="58">
        <v>100</v>
      </c>
      <c r="L845" s="56"/>
      <c r="M845" s="55"/>
      <c r="N845" s="56"/>
      <c r="O845" s="55"/>
      <c r="P845" s="77">
        <v>2585.7059999999997</v>
      </c>
      <c r="Q845" s="82"/>
      <c r="R845" s="82"/>
      <c r="S845" s="82"/>
      <c r="T845" s="82"/>
      <c r="U845" s="163"/>
      <c r="V845" s="82"/>
      <c r="W845" s="160"/>
      <c r="X845" s="82"/>
      <c r="Y845" s="82"/>
      <c r="Z845" s="82"/>
      <c r="AA845" s="82"/>
      <c r="AB845" s="145"/>
      <c r="AC845" s="145"/>
      <c r="AD845" s="145"/>
      <c r="AE845" s="145"/>
      <c r="AF845" s="145"/>
      <c r="AG845" s="145"/>
      <c r="AH845" s="145"/>
      <c r="AI845" s="145"/>
      <c r="AJ845" s="145"/>
      <c r="AK845" s="145"/>
      <c r="AL845" s="145"/>
      <c r="AM845" s="145"/>
      <c r="AN845" s="145"/>
      <c r="AO845" s="145"/>
      <c r="AP845" s="145"/>
      <c r="AQ845" s="145"/>
      <c r="AR845" s="145"/>
      <c r="AS845" s="145"/>
      <c r="AT845" s="145"/>
      <c r="AU845" s="145"/>
      <c r="AV845" s="146"/>
      <c r="AW845" s="146"/>
      <c r="AX845" s="146"/>
      <c r="AY845" s="146"/>
      <c r="AZ845" s="145"/>
      <c r="BA845" s="146"/>
      <c r="BB845" s="145"/>
      <c r="BC845" s="145"/>
      <c r="BD845" s="145"/>
      <c r="BE845" s="145"/>
      <c r="BF845" s="145"/>
      <c r="BG845" s="145"/>
      <c r="BH845" s="145"/>
      <c r="BI845" s="145"/>
      <c r="BJ845" s="145"/>
      <c r="BK845" s="145"/>
    </row>
    <row r="846" spans="1:63" s="147" customFormat="1" ht="15" x14ac:dyDescent="0.25">
      <c r="A846" s="52"/>
      <c r="B846" s="53" t="s">
        <v>61</v>
      </c>
      <c r="C846" s="104" t="s">
        <v>62</v>
      </c>
      <c r="D846" s="104"/>
      <c r="E846" s="104"/>
      <c r="F846" s="104"/>
      <c r="G846" s="104"/>
      <c r="H846" s="54" t="s">
        <v>60</v>
      </c>
      <c r="I846" s="58">
        <v>49</v>
      </c>
      <c r="J846" s="55"/>
      <c r="K846" s="58">
        <v>49</v>
      </c>
      <c r="L846" s="56"/>
      <c r="M846" s="55"/>
      <c r="N846" s="56"/>
      <c r="O846" s="55"/>
      <c r="P846" s="77">
        <v>1267.001</v>
      </c>
      <c r="Q846" s="82"/>
      <c r="R846" s="82"/>
      <c r="S846" s="82"/>
      <c r="T846" s="82"/>
      <c r="U846" s="163"/>
      <c r="V846" s="82"/>
      <c r="W846" s="164"/>
      <c r="X846" s="82"/>
      <c r="Y846" s="82"/>
      <c r="Z846" s="82"/>
      <c r="AA846" s="82"/>
      <c r="AB846" s="145"/>
      <c r="AC846" s="145"/>
      <c r="AD846" s="145"/>
      <c r="AE846" s="145"/>
      <c r="AF846" s="145"/>
      <c r="AG846" s="145"/>
      <c r="AH846" s="145"/>
      <c r="AI846" s="145"/>
      <c r="AJ846" s="145"/>
      <c r="AK846" s="145"/>
      <c r="AL846" s="145"/>
      <c r="AM846" s="145"/>
      <c r="AN846" s="145"/>
      <c r="AO846" s="145"/>
      <c r="AP846" s="145"/>
      <c r="AQ846" s="145"/>
      <c r="AR846" s="145"/>
      <c r="AS846" s="145"/>
      <c r="AT846" s="145"/>
      <c r="AU846" s="145"/>
      <c r="AV846" s="146"/>
      <c r="AW846" s="146"/>
      <c r="AX846" s="146"/>
      <c r="AY846" s="146"/>
      <c r="AZ846" s="145"/>
      <c r="BA846" s="146"/>
      <c r="BB846" s="145"/>
      <c r="BC846" s="145"/>
      <c r="BD846" s="145"/>
      <c r="BE846" s="145"/>
      <c r="BF846" s="145"/>
      <c r="BG846" s="145"/>
      <c r="BH846" s="145"/>
      <c r="BI846" s="145"/>
      <c r="BJ846" s="145"/>
      <c r="BK846" s="145"/>
    </row>
    <row r="847" spans="1:63" s="147" customFormat="1" ht="15" x14ac:dyDescent="0.25">
      <c r="A847" s="59"/>
      <c r="B847" s="98"/>
      <c r="C847" s="102" t="s">
        <v>63</v>
      </c>
      <c r="D847" s="102"/>
      <c r="E847" s="102"/>
      <c r="F847" s="102"/>
      <c r="G847" s="102"/>
      <c r="H847" s="41"/>
      <c r="I847" s="42"/>
      <c r="J847" s="42"/>
      <c r="K847" s="42"/>
      <c r="L847" s="45"/>
      <c r="M847" s="42"/>
      <c r="N847" s="49">
        <v>45895.45</v>
      </c>
      <c r="O847" s="42"/>
      <c r="P847" s="50">
        <v>7199.1610000000001</v>
      </c>
      <c r="Q847" s="82"/>
      <c r="R847" s="82"/>
      <c r="S847" s="82"/>
      <c r="T847" s="82"/>
      <c r="U847" s="156"/>
      <c r="V847" s="82"/>
      <c r="W847" s="164"/>
      <c r="X847" s="82"/>
      <c r="Y847" s="82"/>
      <c r="Z847" s="82"/>
      <c r="AA847" s="82"/>
      <c r="AB847" s="145"/>
      <c r="AC847" s="145"/>
      <c r="AD847" s="145"/>
      <c r="AE847" s="145"/>
      <c r="AF847" s="145"/>
      <c r="AG847" s="145"/>
      <c r="AH847" s="145"/>
      <c r="AI847" s="145"/>
      <c r="AJ847" s="145"/>
      <c r="AK847" s="145"/>
      <c r="AL847" s="145"/>
      <c r="AM847" s="145"/>
      <c r="AN847" s="145"/>
      <c r="AO847" s="145"/>
      <c r="AP847" s="145"/>
      <c r="AQ847" s="145"/>
      <c r="AR847" s="145"/>
      <c r="AS847" s="145"/>
      <c r="AT847" s="145"/>
      <c r="AU847" s="145"/>
      <c r="AV847" s="146"/>
      <c r="AW847" s="146"/>
      <c r="AX847" s="146"/>
      <c r="AY847" s="146"/>
      <c r="AZ847" s="145"/>
      <c r="BA847" s="146"/>
      <c r="BB847" s="145"/>
      <c r="BC847" s="145"/>
      <c r="BD847" s="145"/>
      <c r="BE847" s="145"/>
      <c r="BF847" s="145"/>
      <c r="BG847" s="145"/>
      <c r="BH847" s="145"/>
      <c r="BI847" s="145"/>
      <c r="BJ847" s="145"/>
      <c r="BK847" s="145"/>
    </row>
    <row r="848" spans="1:63" s="147" customFormat="1" ht="15" x14ac:dyDescent="0.25">
      <c r="A848" s="39" t="s">
        <v>724</v>
      </c>
      <c r="B848" s="97" t="s">
        <v>134</v>
      </c>
      <c r="C848" s="103" t="s">
        <v>135</v>
      </c>
      <c r="D848" s="103"/>
      <c r="E848" s="103"/>
      <c r="F848" s="103"/>
      <c r="G848" s="103"/>
      <c r="H848" s="41" t="s">
        <v>71</v>
      </c>
      <c r="I848" s="42">
        <v>4.0920000000000002E-3</v>
      </c>
      <c r="J848" s="43">
        <v>1</v>
      </c>
      <c r="K848" s="68">
        <v>4.0920000000000002E-3</v>
      </c>
      <c r="L848" s="49">
        <v>52663.94</v>
      </c>
      <c r="M848" s="62">
        <v>1.81</v>
      </c>
      <c r="N848" s="49">
        <v>95321.73</v>
      </c>
      <c r="O848" s="42"/>
      <c r="P848" s="50">
        <v>448.56899999999996</v>
      </c>
      <c r="Q848" s="82"/>
      <c r="R848" s="82"/>
      <c r="S848" s="82"/>
      <c r="T848" s="82"/>
      <c r="U848" s="167"/>
      <c r="V848" s="82"/>
      <c r="W848" s="151"/>
      <c r="X848" s="82"/>
      <c r="Y848" s="82"/>
      <c r="Z848" s="82"/>
      <c r="AA848" s="82"/>
      <c r="AB848" s="145"/>
      <c r="AC848" s="145"/>
      <c r="AD848" s="145"/>
      <c r="AE848" s="145"/>
      <c r="AF848" s="145"/>
      <c r="AG848" s="145"/>
      <c r="AH848" s="145"/>
      <c r="AI848" s="145"/>
      <c r="AJ848" s="145"/>
      <c r="AK848" s="145"/>
      <c r="AL848" s="145"/>
      <c r="AM848" s="145"/>
      <c r="AN848" s="145"/>
      <c r="AO848" s="145"/>
      <c r="AP848" s="145"/>
      <c r="AQ848" s="145"/>
      <c r="AR848" s="145"/>
      <c r="AS848" s="145"/>
      <c r="AT848" s="145"/>
      <c r="AU848" s="145"/>
      <c r="AV848" s="146"/>
      <c r="AW848" s="146"/>
      <c r="AX848" s="146"/>
      <c r="AY848" s="146"/>
      <c r="AZ848" s="145"/>
      <c r="BA848" s="146"/>
      <c r="BB848" s="145"/>
      <c r="BC848" s="145"/>
      <c r="BD848" s="145"/>
      <c r="BE848" s="145"/>
      <c r="BF848" s="145"/>
      <c r="BG848" s="145"/>
      <c r="BH848" s="145"/>
      <c r="BI848" s="145"/>
      <c r="BJ848" s="145"/>
      <c r="BK848" s="145"/>
    </row>
    <row r="849" spans="1:63" s="147" customFormat="1" ht="15" x14ac:dyDescent="0.25">
      <c r="A849" s="59"/>
      <c r="B849" s="98"/>
      <c r="C849" s="102" t="s">
        <v>63</v>
      </c>
      <c r="D849" s="102"/>
      <c r="E849" s="102"/>
      <c r="F849" s="102"/>
      <c r="G849" s="102"/>
      <c r="H849" s="41"/>
      <c r="I849" s="42"/>
      <c r="J849" s="42"/>
      <c r="K849" s="42"/>
      <c r="L849" s="45"/>
      <c r="M849" s="42"/>
      <c r="N849" s="45"/>
      <c r="O849" s="42"/>
      <c r="P849" s="50">
        <v>448.56899999999996</v>
      </c>
      <c r="Q849" s="82"/>
      <c r="R849" s="82"/>
      <c r="S849" s="82"/>
      <c r="T849" s="82"/>
      <c r="U849" s="167"/>
      <c r="V849" s="82"/>
      <c r="W849" s="176"/>
      <c r="X849" s="82"/>
      <c r="Y849" s="82"/>
      <c r="Z849" s="82"/>
      <c r="AA849" s="82"/>
      <c r="AB849" s="145"/>
      <c r="AC849" s="145"/>
      <c r="AD849" s="145"/>
      <c r="AE849" s="145"/>
      <c r="AF849" s="145"/>
      <c r="AG849" s="145"/>
      <c r="AH849" s="145"/>
      <c r="AI849" s="145"/>
      <c r="AJ849" s="145"/>
      <c r="AK849" s="145"/>
      <c r="AL849" s="145"/>
      <c r="AM849" s="145"/>
      <c r="AN849" s="145"/>
      <c r="AO849" s="145"/>
      <c r="AP849" s="145"/>
      <c r="AQ849" s="145"/>
      <c r="AR849" s="145"/>
      <c r="AS849" s="145"/>
      <c r="AT849" s="145"/>
      <c r="AU849" s="145"/>
      <c r="AV849" s="146"/>
      <c r="AW849" s="146"/>
      <c r="AX849" s="146"/>
      <c r="AY849" s="146"/>
      <c r="AZ849" s="145"/>
      <c r="BA849" s="146"/>
      <c r="BB849" s="145"/>
      <c r="BC849" s="145"/>
      <c r="BD849" s="145"/>
      <c r="BE849" s="145"/>
      <c r="BF849" s="145"/>
      <c r="BG849" s="145"/>
      <c r="BH849" s="145"/>
      <c r="BI849" s="145"/>
      <c r="BJ849" s="145"/>
      <c r="BK849" s="145"/>
    </row>
    <row r="850" spans="1:63" s="147" customFormat="1" ht="15" x14ac:dyDescent="0.25">
      <c r="A850" s="39" t="s">
        <v>725</v>
      </c>
      <c r="B850" s="97" t="s">
        <v>137</v>
      </c>
      <c r="C850" s="103" t="s">
        <v>138</v>
      </c>
      <c r="D850" s="103"/>
      <c r="E850" s="103"/>
      <c r="F850" s="103"/>
      <c r="G850" s="103"/>
      <c r="H850" s="41" t="s">
        <v>67</v>
      </c>
      <c r="I850" s="42">
        <v>2.7280000000000002</v>
      </c>
      <c r="J850" s="43">
        <v>1</v>
      </c>
      <c r="K850" s="66">
        <v>2.7280000000000002</v>
      </c>
      <c r="L850" s="61">
        <v>144.12</v>
      </c>
      <c r="M850" s="67">
        <v>1.2</v>
      </c>
      <c r="N850" s="61">
        <v>172.94</v>
      </c>
      <c r="O850" s="42"/>
      <c r="P850" s="50">
        <v>542.54699999999991</v>
      </c>
      <c r="Q850" s="82"/>
      <c r="R850" s="82"/>
      <c r="S850" s="82"/>
      <c r="T850" s="82"/>
      <c r="U850" s="167"/>
      <c r="V850" s="82"/>
      <c r="W850" s="151"/>
      <c r="X850" s="82"/>
      <c r="Y850" s="82"/>
      <c r="Z850" s="82"/>
      <c r="AA850" s="82"/>
      <c r="AB850" s="145"/>
      <c r="AC850" s="145"/>
      <c r="AD850" s="145"/>
      <c r="AE850" s="145"/>
      <c r="AF850" s="145"/>
      <c r="AG850" s="145"/>
      <c r="AH850" s="145"/>
      <c r="AI850" s="145"/>
      <c r="AJ850" s="145"/>
      <c r="AK850" s="145"/>
      <c r="AL850" s="145"/>
      <c r="AM850" s="145"/>
      <c r="AN850" s="145"/>
      <c r="AO850" s="145"/>
      <c r="AP850" s="145"/>
      <c r="AQ850" s="145"/>
      <c r="AR850" s="145"/>
      <c r="AS850" s="145"/>
      <c r="AT850" s="145"/>
      <c r="AU850" s="145"/>
      <c r="AV850" s="146"/>
      <c r="AW850" s="146"/>
      <c r="AX850" s="146"/>
      <c r="AY850" s="146"/>
      <c r="AZ850" s="145"/>
      <c r="BA850" s="146"/>
      <c r="BB850" s="145"/>
      <c r="BC850" s="145"/>
      <c r="BD850" s="145"/>
      <c r="BE850" s="145"/>
      <c r="BF850" s="145"/>
      <c r="BG850" s="145"/>
      <c r="BH850" s="145"/>
      <c r="BI850" s="145"/>
      <c r="BJ850" s="145"/>
      <c r="BK850" s="145"/>
    </row>
    <row r="851" spans="1:63" s="147" customFormat="1" ht="15" x14ac:dyDescent="0.25">
      <c r="A851" s="59"/>
      <c r="B851" s="98"/>
      <c r="C851" s="102" t="s">
        <v>63</v>
      </c>
      <c r="D851" s="102"/>
      <c r="E851" s="102"/>
      <c r="F851" s="102"/>
      <c r="G851" s="102"/>
      <c r="H851" s="41"/>
      <c r="I851" s="42"/>
      <c r="J851" s="42"/>
      <c r="K851" s="42"/>
      <c r="L851" s="45"/>
      <c r="M851" s="42"/>
      <c r="N851" s="45"/>
      <c r="O851" s="42"/>
      <c r="P851" s="50">
        <v>542.54699999999991</v>
      </c>
      <c r="Q851" s="82"/>
      <c r="R851" s="82"/>
      <c r="S851" s="82"/>
      <c r="T851" s="82"/>
      <c r="U851" s="167"/>
      <c r="V851" s="82"/>
      <c r="W851" s="171"/>
      <c r="X851" s="82"/>
      <c r="Y851" s="82"/>
      <c r="Z851" s="82"/>
      <c r="AA851" s="82"/>
      <c r="AB851" s="145"/>
      <c r="AC851" s="145"/>
      <c r="AD851" s="145"/>
      <c r="AE851" s="145"/>
      <c r="AF851" s="145"/>
      <c r="AG851" s="145"/>
      <c r="AH851" s="145"/>
      <c r="AI851" s="145"/>
      <c r="AJ851" s="145"/>
      <c r="AK851" s="145"/>
      <c r="AL851" s="145"/>
      <c r="AM851" s="145"/>
      <c r="AN851" s="145"/>
      <c r="AO851" s="145"/>
      <c r="AP851" s="145"/>
      <c r="AQ851" s="145"/>
      <c r="AR851" s="145"/>
      <c r="AS851" s="145"/>
      <c r="AT851" s="145"/>
      <c r="AU851" s="145"/>
      <c r="AV851" s="146"/>
      <c r="AW851" s="146"/>
      <c r="AX851" s="146"/>
      <c r="AY851" s="146"/>
      <c r="AZ851" s="145"/>
      <c r="BA851" s="146"/>
      <c r="BB851" s="145"/>
      <c r="BC851" s="145"/>
      <c r="BD851" s="145"/>
      <c r="BE851" s="145"/>
      <c r="BF851" s="145"/>
      <c r="BG851" s="145"/>
      <c r="BH851" s="145"/>
      <c r="BI851" s="145"/>
      <c r="BJ851" s="145"/>
      <c r="BK851" s="145"/>
    </row>
    <row r="852" spans="1:63" s="147" customFormat="1" ht="15" x14ac:dyDescent="0.25">
      <c r="A852" s="39" t="s">
        <v>726</v>
      </c>
      <c r="B852" s="97" t="s">
        <v>140</v>
      </c>
      <c r="C852" s="103" t="s">
        <v>141</v>
      </c>
      <c r="D852" s="103"/>
      <c r="E852" s="103"/>
      <c r="F852" s="103"/>
      <c r="G852" s="103"/>
      <c r="H852" s="41" t="s">
        <v>55</v>
      </c>
      <c r="I852" s="42">
        <v>0.23430000000000001</v>
      </c>
      <c r="J852" s="43">
        <v>1</v>
      </c>
      <c r="K852" s="44">
        <v>0.23430000000000001</v>
      </c>
      <c r="L852" s="140"/>
      <c r="M852" s="42"/>
      <c r="N852" s="45"/>
      <c r="O852" s="42"/>
      <c r="P852" s="50">
        <v>0</v>
      </c>
      <c r="Q852" s="82"/>
      <c r="R852" s="82"/>
      <c r="S852" s="82"/>
      <c r="T852" s="82"/>
      <c r="U852" s="153"/>
      <c r="V852" s="82"/>
      <c r="W852" s="151"/>
      <c r="X852" s="82"/>
      <c r="Y852" s="82"/>
      <c r="Z852" s="82"/>
      <c r="AA852" s="82"/>
      <c r="AB852" s="145"/>
      <c r="AC852" s="145"/>
      <c r="AD852" s="145"/>
      <c r="AE852" s="145"/>
      <c r="AF852" s="145"/>
      <c r="AG852" s="145"/>
      <c r="AH852" s="145"/>
      <c r="AI852" s="145"/>
      <c r="AJ852" s="145"/>
      <c r="AK852" s="145"/>
      <c r="AL852" s="145"/>
      <c r="AM852" s="145"/>
      <c r="AN852" s="145"/>
      <c r="AO852" s="145"/>
      <c r="AP852" s="145"/>
      <c r="AQ852" s="145"/>
      <c r="AR852" s="145"/>
      <c r="AS852" s="145"/>
      <c r="AT852" s="145"/>
      <c r="AU852" s="145"/>
      <c r="AV852" s="146"/>
      <c r="AW852" s="146"/>
      <c r="AX852" s="146"/>
      <c r="AY852" s="146"/>
      <c r="AZ852" s="145"/>
      <c r="BA852" s="146"/>
      <c r="BB852" s="145"/>
      <c r="BC852" s="145"/>
      <c r="BD852" s="145"/>
      <c r="BE852" s="145"/>
      <c r="BF852" s="145"/>
      <c r="BG852" s="145"/>
      <c r="BH852" s="145"/>
      <c r="BI852" s="145"/>
      <c r="BJ852" s="145"/>
      <c r="BK852" s="145"/>
    </row>
    <row r="853" spans="1:63" s="147" customFormat="1" ht="15" x14ac:dyDescent="0.25">
      <c r="A853" s="47"/>
      <c r="B853" s="48"/>
      <c r="C853" s="102" t="s">
        <v>56</v>
      </c>
      <c r="D853" s="102"/>
      <c r="E853" s="102"/>
      <c r="F853" s="102"/>
      <c r="G853" s="102"/>
      <c r="H853" s="41"/>
      <c r="I853" s="42"/>
      <c r="J853" s="42"/>
      <c r="K853" s="42"/>
      <c r="L853" s="45"/>
      <c r="M853" s="42"/>
      <c r="N853" s="49"/>
      <c r="O853" s="42"/>
      <c r="P853" s="50">
        <v>39354.218999999997</v>
      </c>
      <c r="Q853" s="157"/>
      <c r="R853" s="157"/>
      <c r="S853" s="82"/>
      <c r="T853" s="82"/>
      <c r="U853" s="156"/>
      <c r="V853" s="82"/>
      <c r="W853" s="168"/>
      <c r="X853" s="82"/>
      <c r="Y853" s="82"/>
      <c r="Z853" s="82"/>
      <c r="AA853" s="82"/>
      <c r="AB853" s="145"/>
      <c r="AC853" s="145"/>
      <c r="AD853" s="145"/>
      <c r="AE853" s="145"/>
      <c r="AF853" s="145"/>
      <c r="AG853" s="145"/>
      <c r="AH853" s="145"/>
      <c r="AI853" s="145"/>
      <c r="AJ853" s="145"/>
      <c r="AK853" s="145"/>
      <c r="AL853" s="145"/>
      <c r="AM853" s="145"/>
      <c r="AN853" s="145"/>
      <c r="AO853" s="145"/>
      <c r="AP853" s="145"/>
      <c r="AQ853" s="145"/>
      <c r="AR853" s="145"/>
      <c r="AS853" s="145"/>
      <c r="AT853" s="145"/>
      <c r="AU853" s="145"/>
      <c r="AV853" s="146"/>
      <c r="AW853" s="146"/>
      <c r="AX853" s="146"/>
      <c r="AY853" s="146"/>
      <c r="AZ853" s="145"/>
      <c r="BA853" s="146"/>
      <c r="BB853" s="145"/>
      <c r="BC853" s="145"/>
      <c r="BD853" s="145"/>
      <c r="BE853" s="145"/>
      <c r="BF853" s="145"/>
      <c r="BG853" s="145"/>
      <c r="BH853" s="145"/>
      <c r="BI853" s="145"/>
      <c r="BJ853" s="145"/>
      <c r="BK853" s="145"/>
    </row>
    <row r="854" spans="1:63" s="147" customFormat="1" ht="15" x14ac:dyDescent="0.25">
      <c r="A854" s="52"/>
      <c r="B854" s="53"/>
      <c r="C854" s="104" t="s">
        <v>57</v>
      </c>
      <c r="D854" s="104"/>
      <c r="E854" s="104"/>
      <c r="F854" s="104"/>
      <c r="G854" s="104"/>
      <c r="H854" s="54"/>
      <c r="I854" s="55"/>
      <c r="J854" s="55"/>
      <c r="K854" s="55"/>
      <c r="L854" s="56"/>
      <c r="M854" s="55"/>
      <c r="N854" s="56"/>
      <c r="O854" s="55"/>
      <c r="P854" s="77">
        <v>35608.898999999998</v>
      </c>
      <c r="Q854" s="82"/>
      <c r="R854" s="82"/>
      <c r="S854" s="82"/>
      <c r="T854" s="82"/>
      <c r="U854" s="163"/>
      <c r="V854" s="82"/>
      <c r="W854" s="151"/>
      <c r="X854" s="82"/>
      <c r="Y854" s="82"/>
      <c r="Z854" s="82"/>
      <c r="AA854" s="82"/>
      <c r="AB854" s="145"/>
      <c r="AC854" s="145"/>
      <c r="AD854" s="145"/>
      <c r="AE854" s="145"/>
      <c r="AF854" s="145"/>
      <c r="AG854" s="145"/>
      <c r="AH854" s="145"/>
      <c r="AI854" s="145"/>
      <c r="AJ854" s="145"/>
      <c r="AK854" s="145"/>
      <c r="AL854" s="145"/>
      <c r="AM854" s="145"/>
      <c r="AN854" s="145"/>
      <c r="AO854" s="145"/>
      <c r="AP854" s="145"/>
      <c r="AQ854" s="145"/>
      <c r="AR854" s="145"/>
      <c r="AS854" s="145"/>
      <c r="AT854" s="145"/>
      <c r="AU854" s="145"/>
      <c r="AV854" s="146"/>
      <c r="AW854" s="146"/>
      <c r="AX854" s="146"/>
      <c r="AY854" s="146"/>
      <c r="AZ854" s="145"/>
      <c r="BA854" s="146"/>
      <c r="BB854" s="145"/>
      <c r="BC854" s="145"/>
      <c r="BD854" s="145"/>
      <c r="BE854" s="145"/>
      <c r="BF854" s="145"/>
      <c r="BG854" s="145"/>
      <c r="BH854" s="145"/>
      <c r="BI854" s="145"/>
      <c r="BJ854" s="145"/>
      <c r="BK854" s="145"/>
    </row>
    <row r="855" spans="1:63" s="147" customFormat="1" ht="15" x14ac:dyDescent="0.25">
      <c r="A855" s="52"/>
      <c r="B855" s="53" t="s">
        <v>58</v>
      </c>
      <c r="C855" s="104" t="s">
        <v>59</v>
      </c>
      <c r="D855" s="104"/>
      <c r="E855" s="104"/>
      <c r="F855" s="104"/>
      <c r="G855" s="104"/>
      <c r="H855" s="54" t="s">
        <v>60</v>
      </c>
      <c r="I855" s="58">
        <v>100</v>
      </c>
      <c r="J855" s="55"/>
      <c r="K855" s="58">
        <v>100</v>
      </c>
      <c r="L855" s="56"/>
      <c r="M855" s="55"/>
      <c r="N855" s="56"/>
      <c r="O855" s="55"/>
      <c r="P855" s="77">
        <v>35608.898999999998</v>
      </c>
      <c r="Q855" s="82"/>
      <c r="R855" s="82"/>
      <c r="S855" s="82"/>
      <c r="T855" s="82"/>
      <c r="U855" s="163"/>
      <c r="V855" s="82"/>
      <c r="W855" s="160"/>
      <c r="X855" s="82"/>
      <c r="Y855" s="82"/>
      <c r="Z855" s="82"/>
      <c r="AA855" s="82"/>
      <c r="AB855" s="145"/>
      <c r="AC855" s="145"/>
      <c r="AD855" s="145"/>
      <c r="AE855" s="145"/>
      <c r="AF855" s="145"/>
      <c r="AG855" s="145"/>
      <c r="AH855" s="145"/>
      <c r="AI855" s="145"/>
      <c r="AJ855" s="145"/>
      <c r="AK855" s="145"/>
      <c r="AL855" s="145"/>
      <c r="AM855" s="145"/>
      <c r="AN855" s="145"/>
      <c r="AO855" s="145"/>
      <c r="AP855" s="145"/>
      <c r="AQ855" s="145"/>
      <c r="AR855" s="145"/>
      <c r="AS855" s="145"/>
      <c r="AT855" s="145"/>
      <c r="AU855" s="145"/>
      <c r="AV855" s="146"/>
      <c r="AW855" s="146"/>
      <c r="AX855" s="146"/>
      <c r="AY855" s="146"/>
      <c r="AZ855" s="145"/>
      <c r="BA855" s="146"/>
      <c r="BB855" s="145"/>
      <c r="BC855" s="145"/>
      <c r="BD855" s="145"/>
      <c r="BE855" s="145"/>
      <c r="BF855" s="145"/>
      <c r="BG855" s="145"/>
      <c r="BH855" s="145"/>
      <c r="BI855" s="145"/>
      <c r="BJ855" s="145"/>
      <c r="BK855" s="145"/>
    </row>
    <row r="856" spans="1:63" s="147" customFormat="1" ht="15" x14ac:dyDescent="0.25">
      <c r="A856" s="52"/>
      <c r="B856" s="53" t="s">
        <v>61</v>
      </c>
      <c r="C856" s="104" t="s">
        <v>62</v>
      </c>
      <c r="D856" s="104"/>
      <c r="E856" s="104"/>
      <c r="F856" s="104"/>
      <c r="G856" s="104"/>
      <c r="H856" s="54" t="s">
        <v>60</v>
      </c>
      <c r="I856" s="58">
        <v>49</v>
      </c>
      <c r="J856" s="55"/>
      <c r="K856" s="58">
        <v>49</v>
      </c>
      <c r="L856" s="56"/>
      <c r="M856" s="55"/>
      <c r="N856" s="56"/>
      <c r="O856" s="55"/>
      <c r="P856" s="77">
        <v>17448.363499999999</v>
      </c>
      <c r="Q856" s="82"/>
      <c r="R856" s="82"/>
      <c r="S856" s="82"/>
      <c r="T856" s="82"/>
      <c r="U856" s="163"/>
      <c r="V856" s="82"/>
      <c r="W856" s="164"/>
      <c r="X856" s="82"/>
      <c r="Y856" s="82"/>
      <c r="Z856" s="82"/>
      <c r="AA856" s="82"/>
      <c r="AB856" s="145"/>
      <c r="AC856" s="145"/>
      <c r="AD856" s="145"/>
      <c r="AE856" s="145"/>
      <c r="AF856" s="145"/>
      <c r="AG856" s="145"/>
      <c r="AH856" s="145"/>
      <c r="AI856" s="145"/>
      <c r="AJ856" s="145"/>
      <c r="AK856" s="145"/>
      <c r="AL856" s="145"/>
      <c r="AM856" s="145"/>
      <c r="AN856" s="145"/>
      <c r="AO856" s="145"/>
      <c r="AP856" s="145"/>
      <c r="AQ856" s="145"/>
      <c r="AR856" s="145"/>
      <c r="AS856" s="145"/>
      <c r="AT856" s="145"/>
      <c r="AU856" s="145"/>
      <c r="AV856" s="146"/>
      <c r="AW856" s="146"/>
      <c r="AX856" s="146"/>
      <c r="AY856" s="146"/>
      <c r="AZ856" s="145"/>
      <c r="BA856" s="146"/>
      <c r="BB856" s="145"/>
      <c r="BC856" s="145"/>
      <c r="BD856" s="145"/>
      <c r="BE856" s="145"/>
      <c r="BF856" s="145"/>
      <c r="BG856" s="145"/>
      <c r="BH856" s="145"/>
      <c r="BI856" s="145"/>
      <c r="BJ856" s="145"/>
      <c r="BK856" s="145"/>
    </row>
    <row r="857" spans="1:63" s="147" customFormat="1" ht="15" x14ac:dyDescent="0.25">
      <c r="A857" s="59"/>
      <c r="B857" s="98"/>
      <c r="C857" s="102" t="s">
        <v>63</v>
      </c>
      <c r="D857" s="102"/>
      <c r="E857" s="102"/>
      <c r="F857" s="102"/>
      <c r="G857" s="102"/>
      <c r="H857" s="41"/>
      <c r="I857" s="42"/>
      <c r="J857" s="42"/>
      <c r="K857" s="42"/>
      <c r="L857" s="45"/>
      <c r="M857" s="42"/>
      <c r="N857" s="49">
        <v>206045.67</v>
      </c>
      <c r="O857" s="42"/>
      <c r="P857" s="50">
        <v>55517.974654999991</v>
      </c>
      <c r="Q857" s="82"/>
      <c r="R857" s="82"/>
      <c r="S857" s="82"/>
      <c r="T857" s="82"/>
      <c r="U857" s="156"/>
      <c r="V857" s="82"/>
      <c r="W857" s="164"/>
      <c r="X857" s="82"/>
      <c r="Y857" s="82"/>
      <c r="Z857" s="82"/>
      <c r="AA857" s="82"/>
      <c r="AB857" s="145"/>
      <c r="AC857" s="145"/>
      <c r="AD857" s="145"/>
      <c r="AE857" s="145"/>
      <c r="AF857" s="145"/>
      <c r="AG857" s="145"/>
      <c r="AH857" s="145"/>
      <c r="AI857" s="145"/>
      <c r="AJ857" s="145"/>
      <c r="AK857" s="145"/>
      <c r="AL857" s="145"/>
      <c r="AM857" s="145"/>
      <c r="AN857" s="145"/>
      <c r="AO857" s="145"/>
      <c r="AP857" s="145"/>
      <c r="AQ857" s="145"/>
      <c r="AR857" s="145"/>
      <c r="AS857" s="145"/>
      <c r="AT857" s="145"/>
      <c r="AU857" s="145"/>
      <c r="AV857" s="146"/>
      <c r="AW857" s="146"/>
      <c r="AX857" s="146"/>
      <c r="AY857" s="146"/>
      <c r="AZ857" s="145"/>
      <c r="BA857" s="146"/>
      <c r="BB857" s="145"/>
      <c r="BC857" s="145"/>
      <c r="BD857" s="145"/>
      <c r="BE857" s="145"/>
      <c r="BF857" s="145"/>
      <c r="BG857" s="145"/>
      <c r="BH857" s="145"/>
      <c r="BI857" s="145"/>
      <c r="BJ857" s="145"/>
      <c r="BK857" s="145"/>
    </row>
    <row r="858" spans="1:63" s="147" customFormat="1" ht="15" x14ac:dyDescent="0.25">
      <c r="A858" s="39" t="s">
        <v>727</v>
      </c>
      <c r="B858" s="97" t="s">
        <v>143</v>
      </c>
      <c r="C858" s="103" t="s">
        <v>144</v>
      </c>
      <c r="D858" s="103"/>
      <c r="E858" s="103"/>
      <c r="F858" s="103"/>
      <c r="G858" s="103"/>
      <c r="H858" s="41" t="s">
        <v>105</v>
      </c>
      <c r="I858" s="42">
        <v>23.9</v>
      </c>
      <c r="J858" s="43">
        <v>1</v>
      </c>
      <c r="K858" s="67">
        <v>23.9</v>
      </c>
      <c r="L858" s="61">
        <v>498.7</v>
      </c>
      <c r="M858" s="62">
        <v>1.22</v>
      </c>
      <c r="N858" s="61">
        <v>608.41</v>
      </c>
      <c r="O858" s="42"/>
      <c r="P858" s="50">
        <v>34872.975038412289</v>
      </c>
      <c r="Q858" s="82"/>
      <c r="R858" s="82"/>
      <c r="S858" s="82"/>
      <c r="T858" s="82"/>
      <c r="U858" s="156"/>
      <c r="V858" s="82"/>
      <c r="W858" s="151"/>
      <c r="X858" s="82"/>
      <c r="Y858" s="82"/>
      <c r="Z858" s="82"/>
      <c r="AA858" s="82"/>
      <c r="AB858" s="145"/>
      <c r="AC858" s="145"/>
      <c r="AD858" s="145"/>
      <c r="AE858" s="145"/>
      <c r="AF858" s="145"/>
      <c r="AG858" s="145"/>
      <c r="AH858" s="145"/>
      <c r="AI858" s="145"/>
      <c r="AJ858" s="145"/>
      <c r="AK858" s="145"/>
      <c r="AL858" s="145"/>
      <c r="AM858" s="145"/>
      <c r="AN858" s="145"/>
      <c r="AO858" s="145"/>
      <c r="AP858" s="145"/>
      <c r="AQ858" s="145"/>
      <c r="AR858" s="145"/>
      <c r="AS858" s="145"/>
      <c r="AT858" s="145"/>
      <c r="AU858" s="145"/>
      <c r="AV858" s="146"/>
      <c r="AW858" s="146"/>
      <c r="AX858" s="146"/>
      <c r="AY858" s="146"/>
      <c r="AZ858" s="145"/>
      <c r="BA858" s="146"/>
      <c r="BB858" s="145"/>
      <c r="BC858" s="145"/>
      <c r="BD858" s="145"/>
      <c r="BE858" s="145"/>
      <c r="BF858" s="145"/>
      <c r="BG858" s="145"/>
      <c r="BH858" s="145"/>
      <c r="BI858" s="145"/>
      <c r="BJ858" s="145"/>
      <c r="BK858" s="145"/>
    </row>
    <row r="859" spans="1:63" s="147" customFormat="1" ht="15" x14ac:dyDescent="0.25">
      <c r="A859" s="59"/>
      <c r="B859" s="98"/>
      <c r="C859" s="102" t="s">
        <v>63</v>
      </c>
      <c r="D859" s="102"/>
      <c r="E859" s="102"/>
      <c r="F859" s="102"/>
      <c r="G859" s="102"/>
      <c r="H859" s="41"/>
      <c r="I859" s="42"/>
      <c r="J859" s="42"/>
      <c r="K859" s="42"/>
      <c r="L859" s="45"/>
      <c r="M859" s="42"/>
      <c r="N859" s="45"/>
      <c r="O859" s="42"/>
      <c r="P859" s="50">
        <v>34872.975038412289</v>
      </c>
      <c r="Q859" s="82"/>
      <c r="R859" s="82"/>
      <c r="S859" s="82"/>
      <c r="T859" s="82"/>
      <c r="U859" s="156"/>
      <c r="V859" s="82"/>
      <c r="W859" s="152"/>
      <c r="X859" s="82"/>
      <c r="Y859" s="82"/>
      <c r="Z859" s="82"/>
      <c r="AA859" s="82"/>
      <c r="AB859" s="145"/>
      <c r="AC859" s="145"/>
      <c r="AD859" s="145"/>
      <c r="AE859" s="145"/>
      <c r="AF859" s="145"/>
      <c r="AG859" s="145"/>
      <c r="AH859" s="145"/>
      <c r="AI859" s="145"/>
      <c r="AJ859" s="145"/>
      <c r="AK859" s="145"/>
      <c r="AL859" s="145"/>
      <c r="AM859" s="145"/>
      <c r="AN859" s="145"/>
      <c r="AO859" s="145"/>
      <c r="AP859" s="145"/>
      <c r="AQ859" s="145"/>
      <c r="AR859" s="145"/>
      <c r="AS859" s="145"/>
      <c r="AT859" s="145"/>
      <c r="AU859" s="145"/>
      <c r="AV859" s="146"/>
      <c r="AW859" s="146"/>
      <c r="AX859" s="146"/>
      <c r="AY859" s="146"/>
      <c r="AZ859" s="145"/>
      <c r="BA859" s="146"/>
      <c r="BB859" s="145"/>
      <c r="BC859" s="145"/>
      <c r="BD859" s="145"/>
      <c r="BE859" s="145"/>
      <c r="BF859" s="145"/>
      <c r="BG859" s="145"/>
      <c r="BH859" s="145"/>
      <c r="BI859" s="145"/>
      <c r="BJ859" s="145"/>
      <c r="BK859" s="145"/>
    </row>
    <row r="860" spans="1:63" s="147" customFormat="1" ht="15" x14ac:dyDescent="0.25">
      <c r="A860" s="107" t="s">
        <v>145</v>
      </c>
      <c r="B860" s="108"/>
      <c r="C860" s="108"/>
      <c r="D860" s="108"/>
      <c r="E860" s="108"/>
      <c r="F860" s="108"/>
      <c r="G860" s="108"/>
      <c r="H860" s="108"/>
      <c r="I860" s="108"/>
      <c r="J860" s="108"/>
      <c r="K860" s="108"/>
      <c r="L860" s="108"/>
      <c r="M860" s="108"/>
      <c r="N860" s="108"/>
      <c r="O860" s="108"/>
      <c r="P860" s="109"/>
      <c r="Q860" s="82"/>
      <c r="R860" s="82"/>
      <c r="S860" s="82"/>
      <c r="T860" s="82"/>
      <c r="U860" s="82"/>
      <c r="V860" s="82"/>
      <c r="W860" s="82"/>
      <c r="X860" s="82"/>
      <c r="Y860" s="82"/>
      <c r="Z860" s="82"/>
      <c r="AA860" s="82"/>
      <c r="AB860" s="145"/>
      <c r="AC860" s="145"/>
      <c r="AD860" s="145"/>
      <c r="AE860" s="145"/>
      <c r="AF860" s="145"/>
      <c r="AG860" s="145"/>
      <c r="AH860" s="145"/>
      <c r="AI860" s="145"/>
      <c r="AJ860" s="145"/>
      <c r="AK860" s="145"/>
      <c r="AL860" s="145"/>
      <c r="AM860" s="145"/>
      <c r="AN860" s="145"/>
      <c r="AO860" s="145"/>
      <c r="AP860" s="145"/>
      <c r="AQ860" s="145"/>
      <c r="AR860" s="145"/>
      <c r="AS860" s="145"/>
      <c r="AT860" s="145"/>
      <c r="AU860" s="145"/>
      <c r="AV860" s="146"/>
      <c r="AW860" s="146"/>
      <c r="AX860" s="146"/>
      <c r="AY860" s="146"/>
      <c r="AZ860" s="145"/>
      <c r="BA860" s="146"/>
      <c r="BB860" s="145"/>
      <c r="BC860" s="145"/>
      <c r="BD860" s="145"/>
      <c r="BE860" s="145"/>
      <c r="BF860" s="145"/>
      <c r="BG860" s="145"/>
      <c r="BH860" s="145"/>
      <c r="BI860" s="145"/>
      <c r="BJ860" s="145"/>
      <c r="BK860" s="145"/>
    </row>
    <row r="861" spans="1:63" s="147" customFormat="1" ht="15" x14ac:dyDescent="0.25">
      <c r="A861" s="39" t="s">
        <v>728</v>
      </c>
      <c r="B861" s="97" t="s">
        <v>147</v>
      </c>
      <c r="C861" s="103" t="s">
        <v>148</v>
      </c>
      <c r="D861" s="103"/>
      <c r="E861" s="103"/>
      <c r="F861" s="103"/>
      <c r="G861" s="103"/>
      <c r="H861" s="41" t="s">
        <v>55</v>
      </c>
      <c r="I861" s="42">
        <v>1.6500000000000001E-2</v>
      </c>
      <c r="J861" s="43">
        <v>1</v>
      </c>
      <c r="K861" s="69">
        <v>1.6500000000000001E-2</v>
      </c>
      <c r="L861" s="45"/>
      <c r="M861" s="42"/>
      <c r="N861" s="45"/>
      <c r="O861" s="42"/>
      <c r="P861" s="46"/>
      <c r="Q861" s="82"/>
      <c r="R861" s="82"/>
      <c r="S861" s="82"/>
      <c r="T861" s="82"/>
      <c r="U861" s="82"/>
      <c r="V861" s="82"/>
      <c r="W861" s="178"/>
      <c r="X861" s="82"/>
      <c r="Y861" s="82"/>
      <c r="Z861" s="82"/>
      <c r="AA861" s="82"/>
      <c r="AB861" s="145"/>
      <c r="AC861" s="145"/>
      <c r="AD861" s="145"/>
      <c r="AE861" s="145"/>
      <c r="AF861" s="145"/>
      <c r="AG861" s="145"/>
      <c r="AH861" s="145"/>
      <c r="AI861" s="145"/>
      <c r="AJ861" s="145"/>
      <c r="AK861" s="145"/>
      <c r="AL861" s="145"/>
      <c r="AM861" s="145"/>
      <c r="AN861" s="145"/>
      <c r="AO861" s="145"/>
      <c r="AP861" s="145"/>
      <c r="AQ861" s="145"/>
      <c r="AR861" s="145"/>
      <c r="AS861" s="145"/>
      <c r="AT861" s="145"/>
      <c r="AU861" s="145"/>
      <c r="AV861" s="146"/>
      <c r="AW861" s="146"/>
      <c r="AX861" s="146"/>
      <c r="AY861" s="146"/>
      <c r="AZ861" s="145"/>
      <c r="BA861" s="146"/>
      <c r="BB861" s="145"/>
      <c r="BC861" s="145"/>
      <c r="BD861" s="145"/>
      <c r="BE861" s="145"/>
      <c r="BF861" s="145"/>
      <c r="BG861" s="145"/>
      <c r="BH861" s="145"/>
      <c r="BI861" s="145"/>
      <c r="BJ861" s="145"/>
      <c r="BK861" s="145"/>
    </row>
    <row r="862" spans="1:63" s="147" customFormat="1" ht="15" x14ac:dyDescent="0.25">
      <c r="A862" s="47"/>
      <c r="B862" s="48"/>
      <c r="C862" s="102" t="s">
        <v>56</v>
      </c>
      <c r="D862" s="102"/>
      <c r="E862" s="102"/>
      <c r="F862" s="102"/>
      <c r="G862" s="102"/>
      <c r="H862" s="41"/>
      <c r="I862" s="42"/>
      <c r="J862" s="42"/>
      <c r="K862" s="42"/>
      <c r="L862" s="45"/>
      <c r="M862" s="42"/>
      <c r="N862" s="49"/>
      <c r="O862" s="42"/>
      <c r="P862" s="50">
        <v>1189.0539999999999</v>
      </c>
      <c r="Q862" s="157"/>
      <c r="R862" s="157"/>
      <c r="S862" s="82"/>
      <c r="T862" s="82"/>
      <c r="U862" s="156"/>
      <c r="V862" s="82"/>
      <c r="W862" s="151"/>
      <c r="X862" s="82"/>
      <c r="Y862" s="82"/>
      <c r="Z862" s="82"/>
      <c r="AA862" s="82"/>
      <c r="AB862" s="145"/>
      <c r="AC862" s="145"/>
      <c r="AD862" s="145"/>
      <c r="AE862" s="145"/>
      <c r="AF862" s="145"/>
      <c r="AG862" s="145"/>
      <c r="AH862" s="145"/>
      <c r="AI862" s="145"/>
      <c r="AJ862" s="145"/>
      <c r="AK862" s="145"/>
      <c r="AL862" s="145"/>
      <c r="AM862" s="145"/>
      <c r="AN862" s="145"/>
      <c r="AO862" s="145"/>
      <c r="AP862" s="145"/>
      <c r="AQ862" s="145"/>
      <c r="AR862" s="145"/>
      <c r="AS862" s="145"/>
      <c r="AT862" s="145"/>
      <c r="AU862" s="145"/>
      <c r="AV862" s="146"/>
      <c r="AW862" s="146"/>
      <c r="AX862" s="146"/>
      <c r="AY862" s="146"/>
      <c r="AZ862" s="145"/>
      <c r="BA862" s="146"/>
      <c r="BB862" s="145"/>
      <c r="BC862" s="145"/>
      <c r="BD862" s="145"/>
      <c r="BE862" s="145"/>
      <c r="BF862" s="145"/>
      <c r="BG862" s="145"/>
      <c r="BH862" s="145"/>
      <c r="BI862" s="145"/>
      <c r="BJ862" s="145"/>
      <c r="BK862" s="145"/>
    </row>
    <row r="863" spans="1:63" s="147" customFormat="1" ht="15" x14ac:dyDescent="0.25">
      <c r="A863" s="52"/>
      <c r="B863" s="53"/>
      <c r="C863" s="104" t="s">
        <v>57</v>
      </c>
      <c r="D863" s="104"/>
      <c r="E863" s="104"/>
      <c r="F863" s="104"/>
      <c r="G863" s="104"/>
      <c r="H863" s="54"/>
      <c r="I863" s="55"/>
      <c r="J863" s="55"/>
      <c r="K863" s="55"/>
      <c r="L863" s="56"/>
      <c r="M863" s="55"/>
      <c r="N863" s="56"/>
      <c r="O863" s="55"/>
      <c r="P863" s="77">
        <v>1176.5994999999998</v>
      </c>
      <c r="Q863" s="82"/>
      <c r="R863" s="82"/>
      <c r="S863" s="82"/>
      <c r="T863" s="82"/>
      <c r="U863" s="163"/>
      <c r="V863" s="82"/>
      <c r="W863" s="160"/>
      <c r="X863" s="82"/>
      <c r="Y863" s="82"/>
      <c r="Z863" s="82"/>
      <c r="AA863" s="82"/>
      <c r="AB863" s="145"/>
      <c r="AC863" s="145"/>
      <c r="AD863" s="145"/>
      <c r="AE863" s="145"/>
      <c r="AF863" s="145"/>
      <c r="AG863" s="145"/>
      <c r="AH863" s="145"/>
      <c r="AI863" s="145"/>
      <c r="AJ863" s="145"/>
      <c r="AK863" s="145"/>
      <c r="AL863" s="145"/>
      <c r="AM863" s="145"/>
      <c r="AN863" s="145"/>
      <c r="AO863" s="145"/>
      <c r="AP863" s="145"/>
      <c r="AQ863" s="145"/>
      <c r="AR863" s="145"/>
      <c r="AS863" s="145"/>
      <c r="AT863" s="145"/>
      <c r="AU863" s="145"/>
      <c r="AV863" s="146"/>
      <c r="AW863" s="146"/>
      <c r="AX863" s="146"/>
      <c r="AY863" s="146"/>
      <c r="AZ863" s="145"/>
      <c r="BA863" s="146"/>
      <c r="BB863" s="145"/>
      <c r="BC863" s="145"/>
      <c r="BD863" s="145"/>
      <c r="BE863" s="145"/>
      <c r="BF863" s="145"/>
      <c r="BG863" s="145"/>
      <c r="BH863" s="145"/>
      <c r="BI863" s="145"/>
      <c r="BJ863" s="145"/>
      <c r="BK863" s="145"/>
    </row>
    <row r="864" spans="1:63" s="147" customFormat="1" ht="15" x14ac:dyDescent="0.25">
      <c r="A864" s="52"/>
      <c r="B864" s="53" t="s">
        <v>149</v>
      </c>
      <c r="C864" s="104" t="s">
        <v>150</v>
      </c>
      <c r="D864" s="104"/>
      <c r="E864" s="104"/>
      <c r="F864" s="104"/>
      <c r="G864" s="104"/>
      <c r="H864" s="54" t="s">
        <v>60</v>
      </c>
      <c r="I864" s="58">
        <v>91</v>
      </c>
      <c r="J864" s="55"/>
      <c r="K864" s="58">
        <v>91</v>
      </c>
      <c r="L864" s="56"/>
      <c r="M864" s="55"/>
      <c r="N864" s="56"/>
      <c r="O864" s="55"/>
      <c r="P864" s="77">
        <v>1070.7074999999998</v>
      </c>
      <c r="Q864" s="82"/>
      <c r="R864" s="82"/>
      <c r="S864" s="82"/>
      <c r="T864" s="82"/>
      <c r="U864" s="170"/>
      <c r="V864" s="82"/>
      <c r="W864" s="164"/>
      <c r="X864" s="82"/>
      <c r="Y864" s="82"/>
      <c r="Z864" s="82"/>
      <c r="AA864" s="82"/>
      <c r="AB864" s="145"/>
      <c r="AC864" s="145"/>
      <c r="AD864" s="145"/>
      <c r="AE864" s="145"/>
      <c r="AF864" s="145"/>
      <c r="AG864" s="145"/>
      <c r="AH864" s="145"/>
      <c r="AI864" s="145"/>
      <c r="AJ864" s="145"/>
      <c r="AK864" s="145"/>
      <c r="AL864" s="145"/>
      <c r="AM864" s="145"/>
      <c r="AN864" s="145"/>
      <c r="AO864" s="145"/>
      <c r="AP864" s="145"/>
      <c r="AQ864" s="145"/>
      <c r="AR864" s="145"/>
      <c r="AS864" s="145"/>
      <c r="AT864" s="145"/>
      <c r="AU864" s="145"/>
      <c r="AV864" s="146"/>
      <c r="AW864" s="146"/>
      <c r="AX864" s="146"/>
      <c r="AY864" s="146"/>
      <c r="AZ864" s="145"/>
      <c r="BA864" s="146"/>
      <c r="BB864" s="145"/>
      <c r="BC864" s="145"/>
      <c r="BD864" s="145"/>
      <c r="BE864" s="145"/>
      <c r="BF864" s="145"/>
      <c r="BG864" s="145"/>
      <c r="BH864" s="145"/>
      <c r="BI864" s="145"/>
      <c r="BJ864" s="145"/>
      <c r="BK864" s="145"/>
    </row>
    <row r="865" spans="1:63" s="147" customFormat="1" ht="15" x14ac:dyDescent="0.25">
      <c r="A865" s="52"/>
      <c r="B865" s="53" t="s">
        <v>151</v>
      </c>
      <c r="C865" s="104" t="s">
        <v>152</v>
      </c>
      <c r="D865" s="104"/>
      <c r="E865" s="104"/>
      <c r="F865" s="104"/>
      <c r="G865" s="104"/>
      <c r="H865" s="54" t="s">
        <v>60</v>
      </c>
      <c r="I865" s="58">
        <v>52</v>
      </c>
      <c r="J865" s="55"/>
      <c r="K865" s="58">
        <v>52</v>
      </c>
      <c r="L865" s="56"/>
      <c r="M865" s="55"/>
      <c r="N865" s="56"/>
      <c r="O865" s="55"/>
      <c r="P865" s="77">
        <v>611.83449999999993</v>
      </c>
      <c r="Q865" s="82"/>
      <c r="R865" s="82"/>
      <c r="S865" s="82"/>
      <c r="T865" s="82"/>
      <c r="U865" s="170"/>
      <c r="V865" s="82"/>
      <c r="W865" s="164"/>
      <c r="X865" s="82"/>
      <c r="Y865" s="82"/>
      <c r="Z865" s="82"/>
      <c r="AA865" s="82"/>
      <c r="AB865" s="145"/>
      <c r="AC865" s="145"/>
      <c r="AD865" s="145"/>
      <c r="AE865" s="145"/>
      <c r="AF865" s="145"/>
      <c r="AG865" s="145"/>
      <c r="AH865" s="145"/>
      <c r="AI865" s="145"/>
      <c r="AJ865" s="145"/>
      <c r="AK865" s="145"/>
      <c r="AL865" s="145"/>
      <c r="AM865" s="145"/>
      <c r="AN865" s="145"/>
      <c r="AO865" s="145"/>
      <c r="AP865" s="145"/>
      <c r="AQ865" s="145"/>
      <c r="AR865" s="145"/>
      <c r="AS865" s="145"/>
      <c r="AT865" s="145"/>
      <c r="AU865" s="145"/>
      <c r="AV865" s="146"/>
      <c r="AW865" s="146"/>
      <c r="AX865" s="146"/>
      <c r="AY865" s="146"/>
      <c r="AZ865" s="145"/>
      <c r="BA865" s="146"/>
      <c r="BB865" s="145"/>
      <c r="BC865" s="145"/>
      <c r="BD865" s="145"/>
      <c r="BE865" s="145"/>
      <c r="BF865" s="145"/>
      <c r="BG865" s="145"/>
      <c r="BH865" s="145"/>
      <c r="BI865" s="145"/>
      <c r="BJ865" s="145"/>
      <c r="BK865" s="145"/>
    </row>
    <row r="866" spans="1:63" s="147" customFormat="1" ht="15" x14ac:dyDescent="0.25">
      <c r="A866" s="59"/>
      <c r="B866" s="98"/>
      <c r="C866" s="102" t="s">
        <v>63</v>
      </c>
      <c r="D866" s="102"/>
      <c r="E866" s="102"/>
      <c r="F866" s="102"/>
      <c r="G866" s="102"/>
      <c r="H866" s="41"/>
      <c r="I866" s="42"/>
      <c r="J866" s="42"/>
      <c r="K866" s="42"/>
      <c r="L866" s="45"/>
      <c r="M866" s="42"/>
      <c r="N866" s="49">
        <v>84588.08</v>
      </c>
      <c r="O866" s="42"/>
      <c r="P866" s="50">
        <v>2871.5959999999995</v>
      </c>
      <c r="Q866" s="82"/>
      <c r="R866" s="82"/>
      <c r="S866" s="82"/>
      <c r="T866" s="82"/>
      <c r="U866" s="156"/>
      <c r="V866" s="82"/>
      <c r="W866" s="151"/>
      <c r="X866" s="82"/>
      <c r="Y866" s="82"/>
      <c r="Z866" s="82"/>
      <c r="AA866" s="82"/>
      <c r="AB866" s="145"/>
      <c r="AC866" s="145"/>
      <c r="AD866" s="145"/>
      <c r="AE866" s="145"/>
      <c r="AF866" s="145"/>
      <c r="AG866" s="145"/>
      <c r="AH866" s="145"/>
      <c r="AI866" s="145"/>
      <c r="AJ866" s="145"/>
      <c r="AK866" s="145"/>
      <c r="AL866" s="145"/>
      <c r="AM866" s="145"/>
      <c r="AN866" s="145"/>
      <c r="AO866" s="145"/>
      <c r="AP866" s="145"/>
      <c r="AQ866" s="145"/>
      <c r="AR866" s="145"/>
      <c r="AS866" s="145"/>
      <c r="AT866" s="145"/>
      <c r="AU866" s="145"/>
      <c r="AV866" s="146"/>
      <c r="AW866" s="146"/>
      <c r="AX866" s="146"/>
      <c r="AY866" s="146"/>
      <c r="AZ866" s="145"/>
      <c r="BA866" s="146"/>
      <c r="BB866" s="145"/>
      <c r="BC866" s="145"/>
      <c r="BD866" s="145"/>
      <c r="BE866" s="145"/>
      <c r="BF866" s="145"/>
      <c r="BG866" s="145"/>
      <c r="BH866" s="145"/>
      <c r="BI866" s="145"/>
      <c r="BJ866" s="145"/>
      <c r="BK866" s="145"/>
    </row>
    <row r="867" spans="1:63" s="147" customFormat="1" ht="15" x14ac:dyDescent="0.25">
      <c r="A867" s="39" t="s">
        <v>729</v>
      </c>
      <c r="B867" s="97" t="s">
        <v>154</v>
      </c>
      <c r="C867" s="103" t="s">
        <v>155</v>
      </c>
      <c r="D867" s="103"/>
      <c r="E867" s="103"/>
      <c r="F867" s="103"/>
      <c r="G867" s="103"/>
      <c r="H867" s="41" t="s">
        <v>55</v>
      </c>
      <c r="I867" s="42">
        <v>1.6500000000000001E-2</v>
      </c>
      <c r="J867" s="43">
        <v>1</v>
      </c>
      <c r="K867" s="69">
        <v>1.6500000000000001E-2</v>
      </c>
      <c r="L867" s="45"/>
      <c r="M867" s="42"/>
      <c r="N867" s="45"/>
      <c r="O867" s="42"/>
      <c r="P867" s="50"/>
      <c r="Q867" s="82"/>
      <c r="R867" s="82"/>
      <c r="S867" s="82"/>
      <c r="T867" s="82"/>
      <c r="U867" s="153"/>
      <c r="V867" s="82"/>
      <c r="W867" s="178"/>
      <c r="X867" s="82"/>
      <c r="Y867" s="82"/>
      <c r="Z867" s="82"/>
      <c r="AA867" s="82"/>
      <c r="AB867" s="145"/>
      <c r="AC867" s="145"/>
      <c r="AD867" s="145"/>
      <c r="AE867" s="145"/>
      <c r="AF867" s="145"/>
      <c r="AG867" s="145"/>
      <c r="AH867" s="145"/>
      <c r="AI867" s="145"/>
      <c r="AJ867" s="145"/>
      <c r="AK867" s="145"/>
      <c r="AL867" s="145"/>
      <c r="AM867" s="145"/>
      <c r="AN867" s="145"/>
      <c r="AO867" s="145"/>
      <c r="AP867" s="145"/>
      <c r="AQ867" s="145"/>
      <c r="AR867" s="145"/>
      <c r="AS867" s="145"/>
      <c r="AT867" s="145"/>
      <c r="AU867" s="145"/>
      <c r="AV867" s="146"/>
      <c r="AW867" s="146"/>
      <c r="AX867" s="146"/>
      <c r="AY867" s="146"/>
      <c r="AZ867" s="145"/>
      <c r="BA867" s="146"/>
      <c r="BB867" s="145"/>
      <c r="BC867" s="145"/>
      <c r="BD867" s="145"/>
      <c r="BE867" s="145"/>
      <c r="BF867" s="145"/>
      <c r="BG867" s="145"/>
      <c r="BH867" s="145"/>
      <c r="BI867" s="145"/>
      <c r="BJ867" s="145"/>
      <c r="BK867" s="145"/>
    </row>
    <row r="868" spans="1:63" s="147" customFormat="1" ht="15" x14ac:dyDescent="0.25">
      <c r="A868" s="47"/>
      <c r="B868" s="48"/>
      <c r="C868" s="102" t="s">
        <v>56</v>
      </c>
      <c r="D868" s="102"/>
      <c r="E868" s="102"/>
      <c r="F868" s="102"/>
      <c r="G868" s="102"/>
      <c r="H868" s="41"/>
      <c r="I868" s="42"/>
      <c r="J868" s="42"/>
      <c r="K868" s="42"/>
      <c r="L868" s="45"/>
      <c r="M868" s="42"/>
      <c r="N868" s="49"/>
      <c r="O868" s="42"/>
      <c r="P868" s="50">
        <v>4647.6214999999993</v>
      </c>
      <c r="Q868" s="157"/>
      <c r="R868" s="157"/>
      <c r="S868" s="82"/>
      <c r="T868" s="82"/>
      <c r="U868" s="156"/>
      <c r="V868" s="82"/>
      <c r="W868" s="151"/>
      <c r="X868" s="82"/>
      <c r="Y868" s="82"/>
      <c r="Z868" s="82"/>
      <c r="AA868" s="82"/>
      <c r="AB868" s="145"/>
      <c r="AC868" s="145"/>
      <c r="AD868" s="145"/>
      <c r="AE868" s="145"/>
      <c r="AF868" s="145"/>
      <c r="AG868" s="145"/>
      <c r="AH868" s="145"/>
      <c r="AI868" s="145"/>
      <c r="AJ868" s="145"/>
      <c r="AK868" s="145"/>
      <c r="AL868" s="145"/>
      <c r="AM868" s="145"/>
      <c r="AN868" s="145"/>
      <c r="AO868" s="145"/>
      <c r="AP868" s="145"/>
      <c r="AQ868" s="145"/>
      <c r="AR868" s="145"/>
      <c r="AS868" s="145"/>
      <c r="AT868" s="145"/>
      <c r="AU868" s="145"/>
      <c r="AV868" s="146"/>
      <c r="AW868" s="146"/>
      <c r="AX868" s="146"/>
      <c r="AY868" s="146"/>
      <c r="AZ868" s="145"/>
      <c r="BA868" s="146"/>
      <c r="BB868" s="145"/>
      <c r="BC868" s="145"/>
      <c r="BD868" s="145"/>
      <c r="BE868" s="145"/>
      <c r="BF868" s="145"/>
      <c r="BG868" s="145"/>
      <c r="BH868" s="145"/>
      <c r="BI868" s="145"/>
      <c r="BJ868" s="145"/>
      <c r="BK868" s="145"/>
    </row>
    <row r="869" spans="1:63" s="147" customFormat="1" ht="15" x14ac:dyDescent="0.25">
      <c r="A869" s="52"/>
      <c r="B869" s="53"/>
      <c r="C869" s="104" t="s">
        <v>57</v>
      </c>
      <c r="D869" s="104"/>
      <c r="E869" s="104"/>
      <c r="F869" s="104"/>
      <c r="G869" s="104"/>
      <c r="H869" s="54"/>
      <c r="I869" s="55"/>
      <c r="J869" s="55"/>
      <c r="K869" s="55"/>
      <c r="L869" s="56"/>
      <c r="M869" s="55"/>
      <c r="N869" s="56"/>
      <c r="O869" s="55"/>
      <c r="P869" s="77">
        <v>2636.3979999999997</v>
      </c>
      <c r="Q869" s="82"/>
      <c r="R869" s="82"/>
      <c r="S869" s="82"/>
      <c r="T869" s="82"/>
      <c r="U869" s="163"/>
      <c r="V869" s="82"/>
      <c r="W869" s="160"/>
      <c r="X869" s="82"/>
      <c r="Y869" s="82"/>
      <c r="Z869" s="82"/>
      <c r="AA869" s="82"/>
      <c r="AB869" s="145"/>
      <c r="AC869" s="145"/>
      <c r="AD869" s="145"/>
      <c r="AE869" s="145"/>
      <c r="AF869" s="145"/>
      <c r="AG869" s="145"/>
      <c r="AH869" s="145"/>
      <c r="AI869" s="145"/>
      <c r="AJ869" s="145"/>
      <c r="AK869" s="145"/>
      <c r="AL869" s="145"/>
      <c r="AM869" s="145"/>
      <c r="AN869" s="145"/>
      <c r="AO869" s="145"/>
      <c r="AP869" s="145"/>
      <c r="AQ869" s="145"/>
      <c r="AR869" s="145"/>
      <c r="AS869" s="145"/>
      <c r="AT869" s="145"/>
      <c r="AU869" s="145"/>
      <c r="AV869" s="146"/>
      <c r="AW869" s="146"/>
      <c r="AX869" s="146"/>
      <c r="AY869" s="146"/>
      <c r="AZ869" s="145"/>
      <c r="BA869" s="146"/>
      <c r="BB869" s="145"/>
      <c r="BC869" s="145"/>
      <c r="BD869" s="145"/>
      <c r="BE869" s="145"/>
      <c r="BF869" s="145"/>
      <c r="BG869" s="145"/>
      <c r="BH869" s="145"/>
      <c r="BI869" s="145"/>
      <c r="BJ869" s="145"/>
      <c r="BK869" s="145"/>
    </row>
    <row r="870" spans="1:63" s="147" customFormat="1" ht="15" x14ac:dyDescent="0.25">
      <c r="A870" s="52"/>
      <c r="B870" s="53" t="s">
        <v>98</v>
      </c>
      <c r="C870" s="104" t="s">
        <v>99</v>
      </c>
      <c r="D870" s="104"/>
      <c r="E870" s="104"/>
      <c r="F870" s="104"/>
      <c r="G870" s="104"/>
      <c r="H870" s="54" t="s">
        <v>60</v>
      </c>
      <c r="I870" s="58">
        <v>108</v>
      </c>
      <c r="J870" s="55"/>
      <c r="K870" s="58">
        <v>108</v>
      </c>
      <c r="L870" s="56"/>
      <c r="M870" s="55"/>
      <c r="N870" s="56"/>
      <c r="O870" s="55"/>
      <c r="P870" s="77">
        <v>2847.308</v>
      </c>
      <c r="Q870" s="82"/>
      <c r="R870" s="82"/>
      <c r="S870" s="82"/>
      <c r="T870" s="82"/>
      <c r="U870" s="163"/>
      <c r="V870" s="82"/>
      <c r="W870" s="164"/>
      <c r="X870" s="82"/>
      <c r="Y870" s="82"/>
      <c r="Z870" s="82"/>
      <c r="AA870" s="82"/>
      <c r="AB870" s="145"/>
      <c r="AC870" s="145"/>
      <c r="AD870" s="145"/>
      <c r="AE870" s="145"/>
      <c r="AF870" s="145"/>
      <c r="AG870" s="145"/>
      <c r="AH870" s="145"/>
      <c r="AI870" s="145"/>
      <c r="AJ870" s="145"/>
      <c r="AK870" s="145"/>
      <c r="AL870" s="145"/>
      <c r="AM870" s="145"/>
      <c r="AN870" s="145"/>
      <c r="AO870" s="145"/>
      <c r="AP870" s="145"/>
      <c r="AQ870" s="145"/>
      <c r="AR870" s="145"/>
      <c r="AS870" s="145"/>
      <c r="AT870" s="145"/>
      <c r="AU870" s="145"/>
      <c r="AV870" s="146"/>
      <c r="AW870" s="146"/>
      <c r="AX870" s="146"/>
      <c r="AY870" s="146"/>
      <c r="AZ870" s="145"/>
      <c r="BA870" s="146"/>
      <c r="BB870" s="145"/>
      <c r="BC870" s="145"/>
      <c r="BD870" s="145"/>
      <c r="BE870" s="145"/>
      <c r="BF870" s="145"/>
      <c r="BG870" s="145"/>
      <c r="BH870" s="145"/>
      <c r="BI870" s="145"/>
      <c r="BJ870" s="145"/>
      <c r="BK870" s="145"/>
    </row>
    <row r="871" spans="1:63" s="147" customFormat="1" ht="15" x14ac:dyDescent="0.25">
      <c r="A871" s="52"/>
      <c r="B871" s="53" t="s">
        <v>100</v>
      </c>
      <c r="C871" s="104" t="s">
        <v>101</v>
      </c>
      <c r="D871" s="104"/>
      <c r="E871" s="104"/>
      <c r="F871" s="104"/>
      <c r="G871" s="104"/>
      <c r="H871" s="54" t="s">
        <v>60</v>
      </c>
      <c r="I871" s="58">
        <v>55</v>
      </c>
      <c r="J871" s="55"/>
      <c r="K871" s="58">
        <v>55</v>
      </c>
      <c r="L871" s="56"/>
      <c r="M871" s="55"/>
      <c r="N871" s="56"/>
      <c r="O871" s="55"/>
      <c r="P871" s="77">
        <v>1450.0235</v>
      </c>
      <c r="Q871" s="82"/>
      <c r="R871" s="82"/>
      <c r="S871" s="82"/>
      <c r="T871" s="82"/>
      <c r="U871" s="163"/>
      <c r="V871" s="82"/>
      <c r="W871" s="164"/>
      <c r="X871" s="82"/>
      <c r="Y871" s="82"/>
      <c r="Z871" s="82"/>
      <c r="AA871" s="82"/>
      <c r="AB871" s="145"/>
      <c r="AC871" s="145"/>
      <c r="AD871" s="145"/>
      <c r="AE871" s="145"/>
      <c r="AF871" s="145"/>
      <c r="AG871" s="145"/>
      <c r="AH871" s="145"/>
      <c r="AI871" s="145"/>
      <c r="AJ871" s="145"/>
      <c r="AK871" s="145"/>
      <c r="AL871" s="145"/>
      <c r="AM871" s="145"/>
      <c r="AN871" s="145"/>
      <c r="AO871" s="145"/>
      <c r="AP871" s="145"/>
      <c r="AQ871" s="145"/>
      <c r="AR871" s="145"/>
      <c r="AS871" s="145"/>
      <c r="AT871" s="145"/>
      <c r="AU871" s="145"/>
      <c r="AV871" s="146"/>
      <c r="AW871" s="146"/>
      <c r="AX871" s="146"/>
      <c r="AY871" s="146"/>
      <c r="AZ871" s="145"/>
      <c r="BA871" s="146"/>
      <c r="BB871" s="145"/>
      <c r="BC871" s="145"/>
      <c r="BD871" s="145"/>
      <c r="BE871" s="145"/>
      <c r="BF871" s="145"/>
      <c r="BG871" s="145"/>
      <c r="BH871" s="145"/>
      <c r="BI871" s="145"/>
      <c r="BJ871" s="145"/>
      <c r="BK871" s="145"/>
    </row>
    <row r="872" spans="1:63" s="147" customFormat="1" ht="15" x14ac:dyDescent="0.25">
      <c r="A872" s="59"/>
      <c r="B872" s="98"/>
      <c r="C872" s="102" t="s">
        <v>63</v>
      </c>
      <c r="D872" s="102"/>
      <c r="E872" s="102"/>
      <c r="F872" s="102"/>
      <c r="G872" s="102"/>
      <c r="H872" s="41"/>
      <c r="I872" s="42"/>
      <c r="J872" s="42"/>
      <c r="K872" s="42"/>
      <c r="L872" s="45"/>
      <c r="M872" s="42"/>
      <c r="N872" s="49">
        <v>263489.84000000003</v>
      </c>
      <c r="O872" s="42"/>
      <c r="P872" s="50">
        <v>8944.9529999999995</v>
      </c>
      <c r="Q872" s="82"/>
      <c r="R872" s="82"/>
      <c r="S872" s="82"/>
      <c r="T872" s="82"/>
      <c r="U872" s="156"/>
      <c r="V872" s="82"/>
      <c r="W872" s="151"/>
      <c r="X872" s="82"/>
      <c r="Y872" s="82"/>
      <c r="Z872" s="82"/>
      <c r="AA872" s="82"/>
      <c r="AB872" s="145"/>
      <c r="AC872" s="145"/>
      <c r="AD872" s="145"/>
      <c r="AE872" s="145"/>
      <c r="AF872" s="145"/>
      <c r="AG872" s="145"/>
      <c r="AH872" s="145"/>
      <c r="AI872" s="145"/>
      <c r="AJ872" s="145"/>
      <c r="AK872" s="145"/>
      <c r="AL872" s="145"/>
      <c r="AM872" s="145"/>
      <c r="AN872" s="145"/>
      <c r="AO872" s="145"/>
      <c r="AP872" s="145"/>
      <c r="AQ872" s="145"/>
      <c r="AR872" s="145"/>
      <c r="AS872" s="145"/>
      <c r="AT872" s="145"/>
      <c r="AU872" s="145"/>
      <c r="AV872" s="146"/>
      <c r="AW872" s="146"/>
      <c r="AX872" s="146"/>
      <c r="AY872" s="146"/>
      <c r="AZ872" s="145"/>
      <c r="BA872" s="146"/>
      <c r="BB872" s="145"/>
      <c r="BC872" s="145"/>
      <c r="BD872" s="145"/>
      <c r="BE872" s="145"/>
      <c r="BF872" s="145"/>
      <c r="BG872" s="145"/>
      <c r="BH872" s="145"/>
      <c r="BI872" s="145"/>
      <c r="BJ872" s="145"/>
      <c r="BK872" s="145"/>
    </row>
    <row r="873" spans="1:63" s="147" customFormat="1" ht="15" x14ac:dyDescent="0.25">
      <c r="A873" s="39" t="s">
        <v>730</v>
      </c>
      <c r="B873" s="97" t="s">
        <v>157</v>
      </c>
      <c r="C873" s="103" t="s">
        <v>158</v>
      </c>
      <c r="D873" s="103"/>
      <c r="E873" s="103"/>
      <c r="F873" s="103"/>
      <c r="G873" s="103"/>
      <c r="H873" s="41" t="s">
        <v>105</v>
      </c>
      <c r="I873" s="42">
        <v>1.65</v>
      </c>
      <c r="J873" s="43">
        <v>1</v>
      </c>
      <c r="K873" s="66">
        <v>1.65</v>
      </c>
      <c r="L873" s="49">
        <v>8723.2999999999993</v>
      </c>
      <c r="M873" s="62">
        <v>1.17</v>
      </c>
      <c r="N873" s="49">
        <v>10206.26</v>
      </c>
      <c r="O873" s="42"/>
      <c r="P873" s="50">
        <v>41577.854399999997</v>
      </c>
      <c r="Q873" s="82"/>
      <c r="R873" s="82"/>
      <c r="S873" s="82"/>
      <c r="T873" s="82"/>
      <c r="U873" s="156"/>
      <c r="V873" s="82"/>
      <c r="W873" s="171"/>
      <c r="X873" s="82"/>
      <c r="Y873" s="82"/>
      <c r="Z873" s="82"/>
      <c r="AA873" s="82"/>
      <c r="AB873" s="145"/>
      <c r="AC873" s="145"/>
      <c r="AD873" s="145"/>
      <c r="AE873" s="145"/>
      <c r="AF873" s="145"/>
      <c r="AG873" s="145"/>
      <c r="AH873" s="145"/>
      <c r="AI873" s="145"/>
      <c r="AJ873" s="145"/>
      <c r="AK873" s="145"/>
      <c r="AL873" s="145"/>
      <c r="AM873" s="145"/>
      <c r="AN873" s="145"/>
      <c r="AO873" s="145"/>
      <c r="AP873" s="145"/>
      <c r="AQ873" s="145"/>
      <c r="AR873" s="145"/>
      <c r="AS873" s="145"/>
      <c r="AT873" s="145"/>
      <c r="AU873" s="145"/>
      <c r="AV873" s="146"/>
      <c r="AW873" s="146"/>
      <c r="AX873" s="146"/>
      <c r="AY873" s="146"/>
      <c r="AZ873" s="145"/>
      <c r="BA873" s="146"/>
      <c r="BB873" s="145"/>
      <c r="BC873" s="145"/>
      <c r="BD873" s="145"/>
      <c r="BE873" s="145"/>
      <c r="BF873" s="145"/>
      <c r="BG873" s="145"/>
      <c r="BH873" s="145"/>
      <c r="BI873" s="145"/>
      <c r="BJ873" s="145"/>
      <c r="BK873" s="145"/>
    </row>
    <row r="874" spans="1:63" s="147" customFormat="1" ht="15" x14ac:dyDescent="0.25">
      <c r="A874" s="59"/>
      <c r="B874" s="98"/>
      <c r="C874" s="102" t="s">
        <v>63</v>
      </c>
      <c r="D874" s="102"/>
      <c r="E874" s="102"/>
      <c r="F874" s="102"/>
      <c r="G874" s="102"/>
      <c r="H874" s="41"/>
      <c r="I874" s="42"/>
      <c r="J874" s="42"/>
      <c r="K874" s="42"/>
      <c r="L874" s="45"/>
      <c r="M874" s="42"/>
      <c r="N874" s="45"/>
      <c r="O874" s="42"/>
      <c r="P874" s="50">
        <v>41577.854399999997</v>
      </c>
      <c r="Q874" s="82"/>
      <c r="R874" s="82"/>
      <c r="S874" s="82"/>
      <c r="T874" s="82"/>
      <c r="U874" s="156"/>
      <c r="V874" s="82"/>
      <c r="X874" s="82"/>
      <c r="Y874" s="82"/>
      <c r="Z874" s="82"/>
      <c r="AA874" s="82"/>
      <c r="AB874" s="145"/>
      <c r="AC874" s="145"/>
      <c r="AD874" s="145"/>
      <c r="AE874" s="145"/>
      <c r="AF874" s="145"/>
      <c r="AG874" s="145"/>
      <c r="AH874" s="145"/>
      <c r="AI874" s="145"/>
      <c r="AJ874" s="145"/>
      <c r="AK874" s="145"/>
      <c r="AL874" s="145"/>
      <c r="AM874" s="145"/>
      <c r="AN874" s="145"/>
      <c r="AO874" s="145"/>
      <c r="AP874" s="145"/>
      <c r="AQ874" s="145"/>
      <c r="AR874" s="145"/>
      <c r="AS874" s="145"/>
      <c r="AT874" s="145"/>
      <c r="AU874" s="145"/>
      <c r="AV874" s="146"/>
      <c r="AW874" s="146"/>
      <c r="AX874" s="146"/>
      <c r="AY874" s="146"/>
      <c r="AZ874" s="145"/>
      <c r="BA874" s="146"/>
      <c r="BB874" s="145"/>
      <c r="BC874" s="145"/>
      <c r="BD874" s="145"/>
      <c r="BE874" s="145"/>
      <c r="BF874" s="145"/>
      <c r="BG874" s="145"/>
      <c r="BH874" s="145"/>
      <c r="BI874" s="145"/>
      <c r="BJ874" s="145"/>
      <c r="BK874" s="145"/>
    </row>
    <row r="875" spans="1:63" s="147" customFormat="1" ht="15" x14ac:dyDescent="0.25">
      <c r="A875" s="107" t="s">
        <v>159</v>
      </c>
      <c r="B875" s="108"/>
      <c r="C875" s="108"/>
      <c r="D875" s="108"/>
      <c r="E875" s="108"/>
      <c r="F875" s="108"/>
      <c r="G875" s="108"/>
      <c r="H875" s="108"/>
      <c r="I875" s="108"/>
      <c r="J875" s="108"/>
      <c r="K875" s="108"/>
      <c r="L875" s="108"/>
      <c r="M875" s="108"/>
      <c r="N875" s="108"/>
      <c r="O875" s="108"/>
      <c r="P875" s="109"/>
      <c r="Q875" s="82"/>
      <c r="R875" s="82"/>
      <c r="S875" s="82"/>
      <c r="T875" s="82"/>
      <c r="U875" s="82"/>
      <c r="V875" s="82"/>
      <c r="W875" s="82"/>
      <c r="X875" s="82"/>
      <c r="Y875" s="82"/>
      <c r="Z875" s="82"/>
      <c r="AA875" s="82"/>
      <c r="AB875" s="145"/>
      <c r="AC875" s="145"/>
      <c r="AD875" s="145"/>
      <c r="AE875" s="145"/>
      <c r="AF875" s="145"/>
      <c r="AG875" s="145"/>
      <c r="AH875" s="145"/>
      <c r="AI875" s="145"/>
      <c r="AJ875" s="145"/>
      <c r="AK875" s="145"/>
      <c r="AL875" s="145"/>
      <c r="AM875" s="145"/>
      <c r="AN875" s="145"/>
      <c r="AO875" s="145"/>
      <c r="AP875" s="145"/>
      <c r="AQ875" s="145"/>
      <c r="AR875" s="145"/>
      <c r="AS875" s="145"/>
      <c r="AT875" s="145"/>
      <c r="AU875" s="145"/>
      <c r="AV875" s="146"/>
      <c r="AW875" s="146"/>
      <c r="AX875" s="146"/>
      <c r="AY875" s="146"/>
      <c r="AZ875" s="145"/>
      <c r="BA875" s="146"/>
      <c r="BB875" s="145"/>
      <c r="BC875" s="145"/>
      <c r="BD875" s="145"/>
      <c r="BE875" s="145"/>
      <c r="BF875" s="145"/>
      <c r="BG875" s="145"/>
      <c r="BH875" s="145"/>
      <c r="BI875" s="145"/>
      <c r="BJ875" s="145"/>
      <c r="BK875" s="145"/>
    </row>
    <row r="876" spans="1:63" s="147" customFormat="1" ht="15" x14ac:dyDescent="0.25">
      <c r="A876" s="39" t="s">
        <v>731</v>
      </c>
      <c r="B876" s="97" t="s">
        <v>161</v>
      </c>
      <c r="C876" s="103" t="s">
        <v>162</v>
      </c>
      <c r="D876" s="103"/>
      <c r="E876" s="103"/>
      <c r="F876" s="103"/>
      <c r="G876" s="103"/>
      <c r="H876" s="41" t="s">
        <v>55</v>
      </c>
      <c r="I876" s="42">
        <v>0.1053</v>
      </c>
      <c r="J876" s="43">
        <v>1</v>
      </c>
      <c r="K876" s="44">
        <v>0.1053</v>
      </c>
      <c r="L876" s="45"/>
      <c r="M876" s="42"/>
      <c r="N876" s="45"/>
      <c r="O876" s="42"/>
      <c r="P876" s="46"/>
      <c r="Q876" s="82"/>
      <c r="R876" s="82"/>
      <c r="S876" s="82"/>
      <c r="T876" s="82"/>
      <c r="U876" s="82"/>
      <c r="V876" s="82"/>
      <c r="W876" s="82"/>
      <c r="X876" s="82"/>
      <c r="Y876" s="82"/>
      <c r="Z876" s="82"/>
      <c r="AA876" s="82"/>
      <c r="AB876" s="145"/>
      <c r="AC876" s="145"/>
      <c r="AD876" s="145"/>
      <c r="AE876" s="145"/>
      <c r="AF876" s="145"/>
      <c r="AG876" s="145"/>
      <c r="AH876" s="145"/>
      <c r="AI876" s="145"/>
      <c r="AJ876" s="145"/>
      <c r="AK876" s="145"/>
      <c r="AL876" s="145"/>
      <c r="AM876" s="145"/>
      <c r="AN876" s="145"/>
      <c r="AO876" s="145"/>
      <c r="AP876" s="145"/>
      <c r="AQ876" s="145"/>
      <c r="AR876" s="145"/>
      <c r="AS876" s="145"/>
      <c r="AT876" s="145"/>
      <c r="AU876" s="145"/>
      <c r="AV876" s="146"/>
      <c r="AW876" s="146"/>
      <c r="AX876" s="146"/>
      <c r="AY876" s="146"/>
      <c r="AZ876" s="145"/>
      <c r="BA876" s="146"/>
      <c r="BB876" s="145"/>
      <c r="BC876" s="145"/>
      <c r="BD876" s="145"/>
      <c r="BE876" s="145"/>
      <c r="BF876" s="145"/>
      <c r="BG876" s="145"/>
      <c r="BH876" s="145"/>
      <c r="BI876" s="145"/>
      <c r="BJ876" s="145"/>
      <c r="BK876" s="145"/>
    </row>
    <row r="877" spans="1:63" s="147" customFormat="1" ht="15" x14ac:dyDescent="0.25">
      <c r="A877" s="47"/>
      <c r="B877" s="48"/>
      <c r="C877" s="102" t="s">
        <v>56</v>
      </c>
      <c r="D877" s="102"/>
      <c r="E877" s="102"/>
      <c r="F877" s="102"/>
      <c r="G877" s="102"/>
      <c r="H877" s="41"/>
      <c r="I877" s="42"/>
      <c r="J877" s="42"/>
      <c r="K877" s="42"/>
      <c r="L877" s="45"/>
      <c r="M877" s="42"/>
      <c r="N877" s="49"/>
      <c r="O877" s="42"/>
      <c r="P877" s="50">
        <v>3882.768</v>
      </c>
      <c r="Q877" s="157"/>
      <c r="R877" s="157"/>
      <c r="S877" s="82"/>
      <c r="T877" s="82"/>
      <c r="U877" s="156"/>
      <c r="V877" s="82"/>
      <c r="W877" s="166"/>
      <c r="X877" s="82"/>
      <c r="Y877" s="82"/>
      <c r="Z877" s="82"/>
      <c r="AA877" s="82"/>
      <c r="AB877" s="145"/>
      <c r="AC877" s="145"/>
      <c r="AD877" s="145"/>
      <c r="AE877" s="145"/>
      <c r="AF877" s="145"/>
      <c r="AG877" s="145"/>
      <c r="AH877" s="145"/>
      <c r="AI877" s="145"/>
      <c r="AJ877" s="145"/>
      <c r="AK877" s="145"/>
      <c r="AL877" s="145"/>
      <c r="AM877" s="145"/>
      <c r="AN877" s="145"/>
      <c r="AO877" s="145"/>
      <c r="AP877" s="145"/>
      <c r="AQ877" s="145"/>
      <c r="AR877" s="145"/>
      <c r="AS877" s="145"/>
      <c r="AT877" s="145"/>
      <c r="AU877" s="145"/>
      <c r="AV877" s="146"/>
      <c r="AW877" s="146"/>
      <c r="AX877" s="146"/>
      <c r="AY877" s="146"/>
      <c r="AZ877" s="145"/>
      <c r="BA877" s="146"/>
      <c r="BB877" s="145"/>
      <c r="BC877" s="145"/>
      <c r="BD877" s="145"/>
      <c r="BE877" s="145"/>
      <c r="BF877" s="145"/>
      <c r="BG877" s="145"/>
      <c r="BH877" s="145"/>
      <c r="BI877" s="145"/>
      <c r="BJ877" s="145"/>
      <c r="BK877" s="145"/>
    </row>
    <row r="878" spans="1:63" s="147" customFormat="1" ht="15" x14ac:dyDescent="0.25">
      <c r="A878" s="52"/>
      <c r="B878" s="53"/>
      <c r="C878" s="104" t="s">
        <v>57</v>
      </c>
      <c r="D878" s="104"/>
      <c r="E878" s="104"/>
      <c r="F878" s="104"/>
      <c r="G878" s="104"/>
      <c r="H878" s="54"/>
      <c r="I878" s="55"/>
      <c r="J878" s="55"/>
      <c r="K878" s="55"/>
      <c r="L878" s="56"/>
      <c r="M878" s="55"/>
      <c r="N878" s="56"/>
      <c r="O878" s="55"/>
      <c r="P878" s="77">
        <v>3877.7194999999997</v>
      </c>
      <c r="Q878" s="82"/>
      <c r="R878" s="82"/>
      <c r="S878" s="82"/>
      <c r="T878" s="82"/>
      <c r="U878" s="163"/>
      <c r="V878" s="82"/>
      <c r="W878" s="151"/>
      <c r="X878" s="82"/>
      <c r="Y878" s="82"/>
      <c r="Z878" s="82"/>
      <c r="AA878" s="82"/>
      <c r="AB878" s="145"/>
      <c r="AC878" s="145"/>
      <c r="AD878" s="145"/>
      <c r="AE878" s="145"/>
      <c r="AF878" s="145"/>
      <c r="AG878" s="145"/>
      <c r="AH878" s="145"/>
      <c r="AI878" s="145"/>
      <c r="AJ878" s="145"/>
      <c r="AK878" s="145"/>
      <c r="AL878" s="145"/>
      <c r="AM878" s="145"/>
      <c r="AN878" s="145"/>
      <c r="AO878" s="145"/>
      <c r="AP878" s="145"/>
      <c r="AQ878" s="145"/>
      <c r="AR878" s="145"/>
      <c r="AS878" s="145"/>
      <c r="AT878" s="145"/>
      <c r="AU878" s="145"/>
      <c r="AV878" s="146"/>
      <c r="AW878" s="146"/>
      <c r="AX878" s="146"/>
      <c r="AY878" s="146"/>
      <c r="AZ878" s="145"/>
      <c r="BA878" s="146"/>
      <c r="BB878" s="145"/>
      <c r="BC878" s="145"/>
      <c r="BD878" s="145"/>
      <c r="BE878" s="145"/>
      <c r="BF878" s="145"/>
      <c r="BG878" s="145"/>
      <c r="BH878" s="145"/>
      <c r="BI878" s="145"/>
      <c r="BJ878" s="145"/>
      <c r="BK878" s="145"/>
    </row>
    <row r="879" spans="1:63" s="147" customFormat="1" ht="15" x14ac:dyDescent="0.25">
      <c r="A879" s="52"/>
      <c r="B879" s="53" t="s">
        <v>163</v>
      </c>
      <c r="C879" s="104" t="s">
        <v>164</v>
      </c>
      <c r="D879" s="104"/>
      <c r="E879" s="104"/>
      <c r="F879" s="104"/>
      <c r="G879" s="104"/>
      <c r="H879" s="54" t="s">
        <v>60</v>
      </c>
      <c r="I879" s="58">
        <v>89</v>
      </c>
      <c r="J879" s="55"/>
      <c r="K879" s="58">
        <v>89</v>
      </c>
      <c r="L879" s="56"/>
      <c r="M879" s="55"/>
      <c r="N879" s="56"/>
      <c r="O879" s="55"/>
      <c r="P879" s="77">
        <v>3451.1729999999998</v>
      </c>
      <c r="Q879" s="82"/>
      <c r="R879" s="82"/>
      <c r="S879" s="82"/>
      <c r="T879" s="82"/>
      <c r="U879" s="163"/>
      <c r="V879" s="82"/>
      <c r="W879" s="160"/>
      <c r="X879" s="82"/>
      <c r="Y879" s="82"/>
      <c r="Z879" s="82"/>
      <c r="AA879" s="82"/>
      <c r="AB879" s="145"/>
      <c r="AC879" s="145"/>
      <c r="AD879" s="145"/>
      <c r="AE879" s="145"/>
      <c r="AF879" s="145"/>
      <c r="AG879" s="145"/>
      <c r="AH879" s="145"/>
      <c r="AI879" s="145"/>
      <c r="AJ879" s="145"/>
      <c r="AK879" s="145"/>
      <c r="AL879" s="145"/>
      <c r="AM879" s="145"/>
      <c r="AN879" s="145"/>
      <c r="AO879" s="145"/>
      <c r="AP879" s="145"/>
      <c r="AQ879" s="145"/>
      <c r="AR879" s="145"/>
      <c r="AS879" s="145"/>
      <c r="AT879" s="145"/>
      <c r="AU879" s="145"/>
      <c r="AV879" s="146"/>
      <c r="AW879" s="146"/>
      <c r="AX879" s="146"/>
      <c r="AY879" s="146"/>
      <c r="AZ879" s="145"/>
      <c r="BA879" s="146"/>
      <c r="BB879" s="145"/>
      <c r="BC879" s="145"/>
      <c r="BD879" s="145"/>
      <c r="BE879" s="145"/>
      <c r="BF879" s="145"/>
      <c r="BG879" s="145"/>
      <c r="BH879" s="145"/>
      <c r="BI879" s="145"/>
      <c r="BJ879" s="145"/>
      <c r="BK879" s="145"/>
    </row>
    <row r="880" spans="1:63" s="147" customFormat="1" ht="15" x14ac:dyDescent="0.25">
      <c r="A880" s="52"/>
      <c r="B880" s="53" t="s">
        <v>165</v>
      </c>
      <c r="C880" s="104" t="s">
        <v>166</v>
      </c>
      <c r="D880" s="104"/>
      <c r="E880" s="104"/>
      <c r="F880" s="104"/>
      <c r="G880" s="104"/>
      <c r="H880" s="54" t="s">
        <v>60</v>
      </c>
      <c r="I880" s="58">
        <v>49</v>
      </c>
      <c r="J880" s="55"/>
      <c r="K880" s="58">
        <v>49</v>
      </c>
      <c r="L880" s="56"/>
      <c r="M880" s="55"/>
      <c r="N880" s="56"/>
      <c r="O880" s="55"/>
      <c r="P880" s="77">
        <v>1900.0874999999999</v>
      </c>
      <c r="Q880" s="82"/>
      <c r="R880" s="82"/>
      <c r="S880" s="82"/>
      <c r="T880" s="82"/>
      <c r="U880" s="163"/>
      <c r="V880" s="82"/>
      <c r="W880" s="164"/>
      <c r="X880" s="82"/>
      <c r="Y880" s="82"/>
      <c r="Z880" s="82"/>
      <c r="AA880" s="82"/>
      <c r="AB880" s="145"/>
      <c r="AC880" s="145"/>
      <c r="AD880" s="145"/>
      <c r="AE880" s="145"/>
      <c r="AF880" s="145"/>
      <c r="AG880" s="145"/>
      <c r="AH880" s="145"/>
      <c r="AI880" s="145"/>
      <c r="AJ880" s="145"/>
      <c r="AK880" s="145"/>
      <c r="AL880" s="145"/>
      <c r="AM880" s="145"/>
      <c r="AN880" s="145"/>
      <c r="AO880" s="145"/>
      <c r="AP880" s="145"/>
      <c r="AQ880" s="145"/>
      <c r="AR880" s="145"/>
      <c r="AS880" s="145"/>
      <c r="AT880" s="145"/>
      <c r="AU880" s="145"/>
      <c r="AV880" s="146"/>
      <c r="AW880" s="146"/>
      <c r="AX880" s="146"/>
      <c r="AY880" s="146"/>
      <c r="AZ880" s="145"/>
      <c r="BA880" s="146"/>
      <c r="BB880" s="145"/>
      <c r="BC880" s="145"/>
      <c r="BD880" s="145"/>
      <c r="BE880" s="145"/>
      <c r="BF880" s="145"/>
      <c r="BG880" s="145"/>
      <c r="BH880" s="145"/>
      <c r="BI880" s="145"/>
      <c r="BJ880" s="145"/>
      <c r="BK880" s="145"/>
    </row>
    <row r="881" spans="1:63" s="147" customFormat="1" ht="15" x14ac:dyDescent="0.25">
      <c r="A881" s="59"/>
      <c r="B881" s="98"/>
      <c r="C881" s="102" t="s">
        <v>63</v>
      </c>
      <c r="D881" s="102"/>
      <c r="E881" s="102"/>
      <c r="F881" s="102"/>
      <c r="G881" s="102"/>
      <c r="H881" s="41"/>
      <c r="I881" s="42"/>
      <c r="J881" s="42"/>
      <c r="K881" s="42"/>
      <c r="L881" s="45"/>
      <c r="M881" s="42"/>
      <c r="N881" s="49">
        <v>68453.45</v>
      </c>
      <c r="O881" s="42"/>
      <c r="P881" s="50">
        <v>12684.028499999999</v>
      </c>
      <c r="Q881" s="82"/>
      <c r="R881" s="82"/>
      <c r="S881" s="82"/>
      <c r="T881" s="82"/>
      <c r="U881" s="156"/>
      <c r="V881" s="82"/>
      <c r="W881" s="164"/>
      <c r="X881" s="82"/>
      <c r="Y881" s="82"/>
      <c r="Z881" s="82"/>
      <c r="AA881" s="82"/>
      <c r="AB881" s="145"/>
      <c r="AC881" s="145"/>
      <c r="AD881" s="145"/>
      <c r="AE881" s="145"/>
      <c r="AF881" s="145"/>
      <c r="AG881" s="145"/>
      <c r="AH881" s="145"/>
      <c r="AI881" s="145"/>
      <c r="AJ881" s="145"/>
      <c r="AK881" s="145"/>
      <c r="AL881" s="145"/>
      <c r="AM881" s="145"/>
      <c r="AN881" s="145"/>
      <c r="AO881" s="145"/>
      <c r="AP881" s="145"/>
      <c r="AQ881" s="145"/>
      <c r="AR881" s="145"/>
      <c r="AS881" s="145"/>
      <c r="AT881" s="145"/>
      <c r="AU881" s="145"/>
      <c r="AV881" s="146"/>
      <c r="AW881" s="146"/>
      <c r="AX881" s="146"/>
      <c r="AY881" s="146"/>
      <c r="AZ881" s="145"/>
      <c r="BA881" s="146"/>
      <c r="BB881" s="145"/>
      <c r="BC881" s="145"/>
      <c r="BD881" s="145"/>
      <c r="BE881" s="145"/>
      <c r="BF881" s="145"/>
      <c r="BG881" s="145"/>
      <c r="BH881" s="145"/>
      <c r="BI881" s="145"/>
      <c r="BJ881" s="145"/>
      <c r="BK881" s="145"/>
    </row>
    <row r="882" spans="1:63" s="147" customFormat="1" ht="15" x14ac:dyDescent="0.25">
      <c r="A882" s="39" t="s">
        <v>732</v>
      </c>
      <c r="B882" s="97" t="s">
        <v>168</v>
      </c>
      <c r="C882" s="103" t="s">
        <v>169</v>
      </c>
      <c r="D882" s="103"/>
      <c r="E882" s="103"/>
      <c r="F882" s="103"/>
      <c r="G882" s="103"/>
      <c r="H882" s="41" t="s">
        <v>170</v>
      </c>
      <c r="I882" s="42">
        <v>0.62</v>
      </c>
      <c r="J882" s="43">
        <v>1</v>
      </c>
      <c r="K882" s="62">
        <v>0.621</v>
      </c>
      <c r="L882" s="45"/>
      <c r="M882" s="42"/>
      <c r="N882" s="45"/>
      <c r="O882" s="42"/>
      <c r="P882" s="50"/>
      <c r="Q882" s="82"/>
      <c r="R882" s="82"/>
      <c r="S882" s="82"/>
      <c r="T882" s="82"/>
      <c r="U882" s="153"/>
      <c r="V882" s="82"/>
      <c r="W882" s="151"/>
      <c r="X882" s="82"/>
      <c r="Y882" s="82"/>
      <c r="Z882" s="82"/>
      <c r="AA882" s="82"/>
      <c r="AB882" s="145"/>
      <c r="AC882" s="145"/>
      <c r="AD882" s="145"/>
      <c r="AE882" s="145"/>
      <c r="AF882" s="145"/>
      <c r="AG882" s="145"/>
      <c r="AH882" s="145"/>
      <c r="AI882" s="145"/>
      <c r="AJ882" s="145"/>
      <c r="AK882" s="145"/>
      <c r="AL882" s="145"/>
      <c r="AM882" s="145"/>
      <c r="AN882" s="145"/>
      <c r="AO882" s="145"/>
      <c r="AP882" s="145"/>
      <c r="AQ882" s="145"/>
      <c r="AR882" s="145"/>
      <c r="AS882" s="145"/>
      <c r="AT882" s="145"/>
      <c r="AU882" s="145"/>
      <c r="AV882" s="146"/>
      <c r="AW882" s="146"/>
      <c r="AX882" s="146"/>
      <c r="AY882" s="146"/>
      <c r="AZ882" s="145"/>
      <c r="BA882" s="146"/>
      <c r="BB882" s="145"/>
      <c r="BC882" s="145"/>
      <c r="BD882" s="145"/>
      <c r="BE882" s="145"/>
      <c r="BF882" s="145"/>
      <c r="BG882" s="145"/>
      <c r="BH882" s="145"/>
      <c r="BI882" s="145"/>
      <c r="BJ882" s="145"/>
      <c r="BK882" s="145"/>
    </row>
    <row r="883" spans="1:63" s="147" customFormat="1" ht="15" x14ac:dyDescent="0.25">
      <c r="A883" s="47"/>
      <c r="B883" s="48"/>
      <c r="C883" s="102" t="s">
        <v>56</v>
      </c>
      <c r="D883" s="102"/>
      <c r="E883" s="102"/>
      <c r="F883" s="102"/>
      <c r="G883" s="102"/>
      <c r="H883" s="41"/>
      <c r="I883" s="42"/>
      <c r="J883" s="42"/>
      <c r="K883" s="42"/>
      <c r="L883" s="45"/>
      <c r="M883" s="42"/>
      <c r="N883" s="49"/>
      <c r="O883" s="42"/>
      <c r="P883" s="50">
        <v>3946.6964999999996</v>
      </c>
      <c r="Q883" s="157"/>
      <c r="R883" s="157"/>
      <c r="S883" s="82"/>
      <c r="T883" s="82"/>
      <c r="U883" s="156"/>
      <c r="V883" s="82"/>
      <c r="W883" s="168"/>
      <c r="X883" s="82"/>
      <c r="Y883" s="82"/>
      <c r="Z883" s="82"/>
      <c r="AA883" s="82"/>
      <c r="AB883" s="145"/>
      <c r="AC883" s="145"/>
      <c r="AD883" s="145"/>
      <c r="AE883" s="145"/>
      <c r="AF883" s="145"/>
      <c r="AG883" s="145"/>
      <c r="AH883" s="145"/>
      <c r="AI883" s="145"/>
      <c r="AJ883" s="145"/>
      <c r="AK883" s="145"/>
      <c r="AL883" s="145"/>
      <c r="AM883" s="145"/>
      <c r="AN883" s="145"/>
      <c r="AO883" s="145"/>
      <c r="AP883" s="145"/>
      <c r="AQ883" s="145"/>
      <c r="AR883" s="145"/>
      <c r="AS883" s="145"/>
      <c r="AT883" s="145"/>
      <c r="AU883" s="145"/>
      <c r="AV883" s="146"/>
      <c r="AW883" s="146"/>
      <c r="AX883" s="146"/>
      <c r="AY883" s="146"/>
      <c r="AZ883" s="145"/>
      <c r="BA883" s="146"/>
      <c r="BB883" s="145"/>
      <c r="BC883" s="145"/>
      <c r="BD883" s="145"/>
      <c r="BE883" s="145"/>
      <c r="BF883" s="145"/>
      <c r="BG883" s="145"/>
      <c r="BH883" s="145"/>
      <c r="BI883" s="145"/>
      <c r="BJ883" s="145"/>
      <c r="BK883" s="145"/>
    </row>
    <row r="884" spans="1:63" s="147" customFormat="1" ht="15" x14ac:dyDescent="0.25">
      <c r="A884" s="52"/>
      <c r="B884" s="53"/>
      <c r="C884" s="104" t="s">
        <v>57</v>
      </c>
      <c r="D884" s="104"/>
      <c r="E884" s="104"/>
      <c r="F884" s="104"/>
      <c r="G884" s="104"/>
      <c r="H884" s="54"/>
      <c r="I884" s="55"/>
      <c r="J884" s="55"/>
      <c r="K884" s="55"/>
      <c r="L884" s="56"/>
      <c r="M884" s="55"/>
      <c r="N884" s="56"/>
      <c r="O884" s="55"/>
      <c r="P884" s="77">
        <v>3555.4089999999997</v>
      </c>
      <c r="Q884" s="82"/>
      <c r="R884" s="82"/>
      <c r="S884" s="82"/>
      <c r="T884" s="82"/>
      <c r="U884" s="163"/>
      <c r="V884" s="82"/>
      <c r="W884" s="151"/>
      <c r="X884" s="82"/>
      <c r="Y884" s="82"/>
      <c r="Z884" s="82"/>
      <c r="AA884" s="82"/>
      <c r="AB884" s="145"/>
      <c r="AC884" s="145"/>
      <c r="AD884" s="145"/>
      <c r="AE884" s="145"/>
      <c r="AF884" s="145"/>
      <c r="AG884" s="145"/>
      <c r="AH884" s="145"/>
      <c r="AI884" s="145"/>
      <c r="AJ884" s="145"/>
      <c r="AK884" s="145"/>
      <c r="AL884" s="145"/>
      <c r="AM884" s="145"/>
      <c r="AN884" s="145"/>
      <c r="AO884" s="145"/>
      <c r="AP884" s="145"/>
      <c r="AQ884" s="145"/>
      <c r="AR884" s="145"/>
      <c r="AS884" s="145"/>
      <c r="AT884" s="145"/>
      <c r="AU884" s="145"/>
      <c r="AV884" s="146"/>
      <c r="AW884" s="146"/>
      <c r="AX884" s="146"/>
      <c r="AY884" s="146"/>
      <c r="AZ884" s="145"/>
      <c r="BA884" s="146"/>
      <c r="BB884" s="145"/>
      <c r="BC884" s="145"/>
      <c r="BD884" s="145"/>
      <c r="BE884" s="145"/>
      <c r="BF884" s="145"/>
      <c r="BG884" s="145"/>
      <c r="BH884" s="145"/>
      <c r="BI884" s="145"/>
      <c r="BJ884" s="145"/>
      <c r="BK884" s="145"/>
    </row>
    <row r="885" spans="1:63" s="147" customFormat="1" ht="15" x14ac:dyDescent="0.25">
      <c r="A885" s="52"/>
      <c r="B885" s="53" t="s">
        <v>149</v>
      </c>
      <c r="C885" s="104" t="s">
        <v>150</v>
      </c>
      <c r="D885" s="104"/>
      <c r="E885" s="104"/>
      <c r="F885" s="104"/>
      <c r="G885" s="104"/>
      <c r="H885" s="54" t="s">
        <v>60</v>
      </c>
      <c r="I885" s="58">
        <v>91</v>
      </c>
      <c r="J885" s="55"/>
      <c r="K885" s="58">
        <v>91</v>
      </c>
      <c r="L885" s="56"/>
      <c r="M885" s="55"/>
      <c r="N885" s="56"/>
      <c r="O885" s="55"/>
      <c r="P885" s="77">
        <v>3235.4214999999995</v>
      </c>
      <c r="Q885" s="82"/>
      <c r="R885" s="82"/>
      <c r="S885" s="82"/>
      <c r="T885" s="82"/>
      <c r="U885" s="163"/>
      <c r="V885" s="82"/>
      <c r="W885" s="160"/>
      <c r="X885" s="82"/>
      <c r="Y885" s="82"/>
      <c r="Z885" s="82"/>
      <c r="AA885" s="82"/>
      <c r="AB885" s="145"/>
      <c r="AC885" s="145"/>
      <c r="AD885" s="145"/>
      <c r="AE885" s="145"/>
      <c r="AF885" s="145"/>
      <c r="AG885" s="145"/>
      <c r="AH885" s="145"/>
      <c r="AI885" s="145"/>
      <c r="AJ885" s="145"/>
      <c r="AK885" s="145"/>
      <c r="AL885" s="145"/>
      <c r="AM885" s="145"/>
      <c r="AN885" s="145"/>
      <c r="AO885" s="145"/>
      <c r="AP885" s="145"/>
      <c r="AQ885" s="145"/>
      <c r="AR885" s="145"/>
      <c r="AS885" s="145"/>
      <c r="AT885" s="145"/>
      <c r="AU885" s="145"/>
      <c r="AV885" s="146"/>
      <c r="AW885" s="146"/>
      <c r="AX885" s="146"/>
      <c r="AY885" s="146"/>
      <c r="AZ885" s="145"/>
      <c r="BA885" s="146"/>
      <c r="BB885" s="145"/>
      <c r="BC885" s="145"/>
      <c r="BD885" s="145"/>
      <c r="BE885" s="145"/>
      <c r="BF885" s="145"/>
      <c r="BG885" s="145"/>
      <c r="BH885" s="145"/>
      <c r="BI885" s="145"/>
      <c r="BJ885" s="145"/>
      <c r="BK885" s="145"/>
    </row>
    <row r="886" spans="1:63" s="147" customFormat="1" ht="15" x14ac:dyDescent="0.25">
      <c r="A886" s="52"/>
      <c r="B886" s="53" t="s">
        <v>151</v>
      </c>
      <c r="C886" s="104" t="s">
        <v>152</v>
      </c>
      <c r="D886" s="104"/>
      <c r="E886" s="104"/>
      <c r="F886" s="104"/>
      <c r="G886" s="104"/>
      <c r="H886" s="54" t="s">
        <v>60</v>
      </c>
      <c r="I886" s="58">
        <v>52</v>
      </c>
      <c r="J886" s="55"/>
      <c r="K886" s="58">
        <v>52</v>
      </c>
      <c r="L886" s="56"/>
      <c r="M886" s="55"/>
      <c r="N886" s="56"/>
      <c r="O886" s="55"/>
      <c r="P886" s="77">
        <v>1848.809</v>
      </c>
      <c r="Q886" s="82"/>
      <c r="R886" s="82"/>
      <c r="S886" s="82"/>
      <c r="T886" s="82"/>
      <c r="U886" s="163"/>
      <c r="V886" s="82"/>
      <c r="W886" s="164"/>
      <c r="X886" s="82"/>
      <c r="Y886" s="82"/>
      <c r="Z886" s="82"/>
      <c r="AA886" s="82"/>
      <c r="AB886" s="145"/>
      <c r="AC886" s="145"/>
      <c r="AD886" s="145"/>
      <c r="AE886" s="145"/>
      <c r="AF886" s="145"/>
      <c r="AG886" s="145"/>
      <c r="AH886" s="145"/>
      <c r="AI886" s="145"/>
      <c r="AJ886" s="145"/>
      <c r="AK886" s="145"/>
      <c r="AL886" s="145"/>
      <c r="AM886" s="145"/>
      <c r="AN886" s="145"/>
      <c r="AO886" s="145"/>
      <c r="AP886" s="145"/>
      <c r="AQ886" s="145"/>
      <c r="AR886" s="145"/>
      <c r="AS886" s="145"/>
      <c r="AT886" s="145"/>
      <c r="AU886" s="145"/>
      <c r="AV886" s="146"/>
      <c r="AW886" s="146"/>
      <c r="AX886" s="146"/>
      <c r="AY886" s="146"/>
      <c r="AZ886" s="145"/>
      <c r="BA886" s="146"/>
      <c r="BB886" s="145"/>
      <c r="BC886" s="145"/>
      <c r="BD886" s="145"/>
      <c r="BE886" s="145"/>
      <c r="BF886" s="145"/>
      <c r="BG886" s="145"/>
      <c r="BH886" s="145"/>
      <c r="BI886" s="145"/>
      <c r="BJ886" s="145"/>
      <c r="BK886" s="145"/>
    </row>
    <row r="887" spans="1:63" s="147" customFormat="1" ht="15" x14ac:dyDescent="0.25">
      <c r="A887" s="59"/>
      <c r="B887" s="98"/>
      <c r="C887" s="102" t="s">
        <v>63</v>
      </c>
      <c r="D887" s="102"/>
      <c r="E887" s="102"/>
      <c r="F887" s="102"/>
      <c r="G887" s="102"/>
      <c r="H887" s="41"/>
      <c r="I887" s="42"/>
      <c r="J887" s="42"/>
      <c r="K887" s="42"/>
      <c r="L887" s="45"/>
      <c r="M887" s="42"/>
      <c r="N887" s="49">
        <v>8013.24</v>
      </c>
      <c r="O887" s="42"/>
      <c r="P887" s="50">
        <v>9030.9269999999997</v>
      </c>
      <c r="Q887" s="82"/>
      <c r="R887" s="82"/>
      <c r="S887" s="82"/>
      <c r="T887" s="82"/>
      <c r="U887" s="156"/>
      <c r="V887" s="82"/>
      <c r="W887" s="164"/>
      <c r="X887" s="82"/>
      <c r="Y887" s="82"/>
      <c r="Z887" s="82"/>
      <c r="AA887" s="82"/>
      <c r="AB887" s="145"/>
      <c r="AC887" s="145"/>
      <c r="AD887" s="145"/>
      <c r="AE887" s="145"/>
      <c r="AF887" s="145"/>
      <c r="AG887" s="145"/>
      <c r="AH887" s="145"/>
      <c r="AI887" s="145"/>
      <c r="AJ887" s="145"/>
      <c r="AK887" s="145"/>
      <c r="AL887" s="145"/>
      <c r="AM887" s="145"/>
      <c r="AN887" s="145"/>
      <c r="AO887" s="145"/>
      <c r="AP887" s="145"/>
      <c r="AQ887" s="145"/>
      <c r="AR887" s="145"/>
      <c r="AS887" s="145"/>
      <c r="AT887" s="145"/>
      <c r="AU887" s="145"/>
      <c r="AV887" s="146"/>
      <c r="AW887" s="146"/>
      <c r="AX887" s="146"/>
      <c r="AY887" s="146"/>
      <c r="AZ887" s="145"/>
      <c r="BA887" s="146"/>
      <c r="BB887" s="145"/>
      <c r="BC887" s="145"/>
      <c r="BD887" s="145"/>
      <c r="BE887" s="145"/>
      <c r="BF887" s="145"/>
      <c r="BG887" s="145"/>
      <c r="BH887" s="145"/>
      <c r="BI887" s="145"/>
      <c r="BJ887" s="145"/>
      <c r="BK887" s="145"/>
    </row>
    <row r="888" spans="1:63" s="147" customFormat="1" ht="15" x14ac:dyDescent="0.25">
      <c r="A888" s="39" t="s">
        <v>733</v>
      </c>
      <c r="B888" s="97" t="s">
        <v>172</v>
      </c>
      <c r="C888" s="103" t="s">
        <v>173</v>
      </c>
      <c r="D888" s="103"/>
      <c r="E888" s="103"/>
      <c r="F888" s="103"/>
      <c r="G888" s="103"/>
      <c r="H888" s="41" t="s">
        <v>170</v>
      </c>
      <c r="I888" s="42">
        <v>2.8000000000000001E-2</v>
      </c>
      <c r="J888" s="43">
        <v>1</v>
      </c>
      <c r="K888" s="66">
        <v>2.8000000000000001E-2</v>
      </c>
      <c r="L888" s="45"/>
      <c r="M888" s="42"/>
      <c r="N888" s="45"/>
      <c r="O888" s="42"/>
      <c r="P888" s="50"/>
      <c r="Q888" s="82"/>
      <c r="R888" s="82"/>
      <c r="S888" s="82"/>
      <c r="T888" s="82"/>
      <c r="U888" s="153"/>
      <c r="V888" s="82"/>
      <c r="W888" s="151"/>
      <c r="X888" s="82"/>
      <c r="Y888" s="82"/>
      <c r="Z888" s="82"/>
      <c r="AA888" s="82"/>
      <c r="AB888" s="145"/>
      <c r="AC888" s="145"/>
      <c r="AD888" s="145"/>
      <c r="AE888" s="145"/>
      <c r="AF888" s="145"/>
      <c r="AG888" s="145"/>
      <c r="AH888" s="145"/>
      <c r="AI888" s="145"/>
      <c r="AJ888" s="145"/>
      <c r="AK888" s="145"/>
      <c r="AL888" s="145"/>
      <c r="AM888" s="145"/>
      <c r="AN888" s="145"/>
      <c r="AO888" s="145"/>
      <c r="AP888" s="145"/>
      <c r="AQ888" s="145"/>
      <c r="AR888" s="145"/>
      <c r="AS888" s="145"/>
      <c r="AT888" s="145"/>
      <c r="AU888" s="145"/>
      <c r="AV888" s="146"/>
      <c r="AW888" s="146"/>
      <c r="AX888" s="146"/>
      <c r="AY888" s="146"/>
      <c r="AZ888" s="145"/>
      <c r="BA888" s="146"/>
      <c r="BB888" s="145"/>
      <c r="BC888" s="145"/>
      <c r="BD888" s="145"/>
      <c r="BE888" s="145"/>
      <c r="BF888" s="145"/>
      <c r="BG888" s="145"/>
      <c r="BH888" s="145"/>
      <c r="BI888" s="145"/>
      <c r="BJ888" s="145"/>
      <c r="BK888" s="145"/>
    </row>
    <row r="889" spans="1:63" s="147" customFormat="1" ht="15" x14ac:dyDescent="0.25">
      <c r="A889" s="47"/>
      <c r="B889" s="48"/>
      <c r="C889" s="102" t="s">
        <v>56</v>
      </c>
      <c r="D889" s="102"/>
      <c r="E889" s="102"/>
      <c r="F889" s="102"/>
      <c r="G889" s="102"/>
      <c r="H889" s="41"/>
      <c r="I889" s="42"/>
      <c r="J889" s="42"/>
      <c r="K889" s="42"/>
      <c r="L889" s="45"/>
      <c r="M889" s="42"/>
      <c r="N889" s="49"/>
      <c r="O889" s="42"/>
      <c r="P889" s="50">
        <v>2188.0360000000001</v>
      </c>
      <c r="Q889" s="157"/>
      <c r="R889" s="157"/>
      <c r="S889" s="82"/>
      <c r="T889" s="82"/>
      <c r="U889" s="156"/>
      <c r="V889" s="82"/>
      <c r="W889" s="168"/>
      <c r="X889" s="82"/>
      <c r="Y889" s="82"/>
      <c r="Z889" s="82"/>
      <c r="AA889" s="82"/>
      <c r="AB889" s="145"/>
      <c r="AC889" s="145"/>
      <c r="AD889" s="145"/>
      <c r="AE889" s="145"/>
      <c r="AF889" s="145"/>
      <c r="AG889" s="145"/>
      <c r="AH889" s="145"/>
      <c r="AI889" s="145"/>
      <c r="AJ889" s="145"/>
      <c r="AK889" s="145"/>
      <c r="AL889" s="145"/>
      <c r="AM889" s="145"/>
      <c r="AN889" s="145"/>
      <c r="AO889" s="145"/>
      <c r="AP889" s="145"/>
      <c r="AQ889" s="145"/>
      <c r="AR889" s="145"/>
      <c r="AS889" s="145"/>
      <c r="AT889" s="145"/>
      <c r="AU889" s="145"/>
      <c r="AV889" s="146"/>
      <c r="AW889" s="146"/>
      <c r="AX889" s="146"/>
      <c r="AY889" s="146"/>
      <c r="AZ889" s="145"/>
      <c r="BA889" s="146"/>
      <c r="BB889" s="145"/>
      <c r="BC889" s="145"/>
      <c r="BD889" s="145"/>
      <c r="BE889" s="145"/>
      <c r="BF889" s="145"/>
      <c r="BG889" s="145"/>
      <c r="BH889" s="145"/>
      <c r="BI889" s="145"/>
      <c r="BJ889" s="145"/>
      <c r="BK889" s="145"/>
    </row>
    <row r="890" spans="1:63" s="147" customFormat="1" ht="15" x14ac:dyDescent="0.25">
      <c r="A890" s="52"/>
      <c r="B890" s="53"/>
      <c r="C890" s="104" t="s">
        <v>57</v>
      </c>
      <c r="D890" s="104"/>
      <c r="E890" s="104"/>
      <c r="F890" s="104"/>
      <c r="G890" s="104"/>
      <c r="H890" s="54"/>
      <c r="I890" s="55"/>
      <c r="J890" s="55"/>
      <c r="K890" s="55"/>
      <c r="L890" s="56"/>
      <c r="M890" s="55"/>
      <c r="N890" s="56"/>
      <c r="O890" s="55"/>
      <c r="P890" s="77">
        <v>1948.4794999999997</v>
      </c>
      <c r="Q890" s="82"/>
      <c r="R890" s="82"/>
      <c r="S890" s="82"/>
      <c r="T890" s="82"/>
      <c r="U890" s="163"/>
      <c r="V890" s="82"/>
      <c r="W890" s="151"/>
      <c r="X890" s="82"/>
      <c r="Y890" s="82"/>
      <c r="Z890" s="82"/>
      <c r="AA890" s="82"/>
      <c r="AB890" s="145"/>
      <c r="AC890" s="145"/>
      <c r="AD890" s="145"/>
      <c r="AE890" s="145"/>
      <c r="AF890" s="145"/>
      <c r="AG890" s="145"/>
      <c r="AH890" s="145"/>
      <c r="AI890" s="145"/>
      <c r="AJ890" s="145"/>
      <c r="AK890" s="145"/>
      <c r="AL890" s="145"/>
      <c r="AM890" s="145"/>
      <c r="AN890" s="145"/>
      <c r="AO890" s="145"/>
      <c r="AP890" s="145"/>
      <c r="AQ890" s="145"/>
      <c r="AR890" s="145"/>
      <c r="AS890" s="145"/>
      <c r="AT890" s="145"/>
      <c r="AU890" s="145"/>
      <c r="AV890" s="146"/>
      <c r="AW890" s="146"/>
      <c r="AX890" s="146"/>
      <c r="AY890" s="146"/>
      <c r="AZ890" s="145"/>
      <c r="BA890" s="146"/>
      <c r="BB890" s="145"/>
      <c r="BC890" s="145"/>
      <c r="BD890" s="145"/>
      <c r="BE890" s="145"/>
      <c r="BF890" s="145"/>
      <c r="BG890" s="145"/>
      <c r="BH890" s="145"/>
      <c r="BI890" s="145"/>
      <c r="BJ890" s="145"/>
      <c r="BK890" s="145"/>
    </row>
    <row r="891" spans="1:63" s="147" customFormat="1" ht="15" x14ac:dyDescent="0.25">
      <c r="A891" s="52"/>
      <c r="B891" s="53" t="s">
        <v>174</v>
      </c>
      <c r="C891" s="104" t="s">
        <v>175</v>
      </c>
      <c r="D891" s="104"/>
      <c r="E891" s="104"/>
      <c r="F891" s="104"/>
      <c r="G891" s="104"/>
      <c r="H891" s="54" t="s">
        <v>60</v>
      </c>
      <c r="I891" s="58">
        <v>110</v>
      </c>
      <c r="J891" s="55"/>
      <c r="K891" s="58">
        <v>110</v>
      </c>
      <c r="L891" s="56"/>
      <c r="M891" s="55"/>
      <c r="N891" s="56"/>
      <c r="O891" s="55"/>
      <c r="P891" s="77">
        <v>2143.3239999999996</v>
      </c>
      <c r="Q891" s="82"/>
      <c r="R891" s="82"/>
      <c r="S891" s="82"/>
      <c r="T891" s="82"/>
      <c r="U891" s="163"/>
      <c r="V891" s="82"/>
      <c r="W891" s="160"/>
      <c r="X891" s="82"/>
      <c r="Y891" s="82"/>
      <c r="Z891" s="82"/>
      <c r="AA891" s="82"/>
      <c r="AB891" s="145"/>
      <c r="AC891" s="145"/>
      <c r="AD891" s="145"/>
      <c r="AE891" s="145"/>
      <c r="AF891" s="145"/>
      <c r="AG891" s="145"/>
      <c r="AH891" s="145"/>
      <c r="AI891" s="145"/>
      <c r="AJ891" s="145"/>
      <c r="AK891" s="145"/>
      <c r="AL891" s="145"/>
      <c r="AM891" s="145"/>
      <c r="AN891" s="145"/>
      <c r="AO891" s="145"/>
      <c r="AP891" s="145"/>
      <c r="AQ891" s="145"/>
      <c r="AR891" s="145"/>
      <c r="AS891" s="145"/>
      <c r="AT891" s="145"/>
      <c r="AU891" s="145"/>
      <c r="AV891" s="146"/>
      <c r="AW891" s="146"/>
      <c r="AX891" s="146"/>
      <c r="AY891" s="146"/>
      <c r="AZ891" s="145"/>
      <c r="BA891" s="146"/>
      <c r="BB891" s="145"/>
      <c r="BC891" s="145"/>
      <c r="BD891" s="145"/>
      <c r="BE891" s="145"/>
      <c r="BF891" s="145"/>
      <c r="BG891" s="145"/>
      <c r="BH891" s="145"/>
      <c r="BI891" s="145"/>
      <c r="BJ891" s="145"/>
      <c r="BK891" s="145"/>
    </row>
    <row r="892" spans="1:63" s="147" customFormat="1" ht="15" x14ac:dyDescent="0.25">
      <c r="A892" s="52"/>
      <c r="B892" s="53" t="s">
        <v>176</v>
      </c>
      <c r="C892" s="104" t="s">
        <v>177</v>
      </c>
      <c r="D892" s="104"/>
      <c r="E892" s="104"/>
      <c r="F892" s="104"/>
      <c r="G892" s="104"/>
      <c r="H892" s="54" t="s">
        <v>60</v>
      </c>
      <c r="I892" s="58">
        <v>69</v>
      </c>
      <c r="J892" s="55"/>
      <c r="K892" s="58">
        <v>69</v>
      </c>
      <c r="L892" s="56"/>
      <c r="M892" s="55"/>
      <c r="N892" s="56"/>
      <c r="O892" s="55"/>
      <c r="P892" s="77">
        <v>1344.4534999999998</v>
      </c>
      <c r="Q892" s="82"/>
      <c r="R892" s="82"/>
      <c r="S892" s="82"/>
      <c r="T892" s="82"/>
      <c r="U892" s="163"/>
      <c r="V892" s="82"/>
      <c r="W892" s="164"/>
      <c r="X892" s="82"/>
      <c r="Y892" s="82"/>
      <c r="Z892" s="82"/>
      <c r="AA892" s="82"/>
      <c r="AB892" s="145"/>
      <c r="AC892" s="145"/>
      <c r="AD892" s="145"/>
      <c r="AE892" s="145"/>
      <c r="AF892" s="145"/>
      <c r="AG892" s="145"/>
      <c r="AH892" s="145"/>
      <c r="AI892" s="145"/>
      <c r="AJ892" s="145"/>
      <c r="AK892" s="145"/>
      <c r="AL892" s="145"/>
      <c r="AM892" s="145"/>
      <c r="AN892" s="145"/>
      <c r="AO892" s="145"/>
      <c r="AP892" s="145"/>
      <c r="AQ892" s="145"/>
      <c r="AR892" s="145"/>
      <c r="AS892" s="145"/>
      <c r="AT892" s="145"/>
      <c r="AU892" s="145"/>
      <c r="AV892" s="146"/>
      <c r="AW892" s="146"/>
      <c r="AX892" s="146"/>
      <c r="AY892" s="146"/>
      <c r="AZ892" s="145"/>
      <c r="BA892" s="146"/>
      <c r="BB892" s="145"/>
      <c r="BC892" s="145"/>
      <c r="BD892" s="145"/>
      <c r="BE892" s="145"/>
      <c r="BF892" s="145"/>
      <c r="BG892" s="145"/>
      <c r="BH892" s="145"/>
      <c r="BI892" s="145"/>
      <c r="BJ892" s="145"/>
      <c r="BK892" s="145"/>
    </row>
    <row r="893" spans="1:63" s="147" customFormat="1" ht="15" x14ac:dyDescent="0.25">
      <c r="A893" s="59"/>
      <c r="B893" s="98"/>
      <c r="C893" s="102" t="s">
        <v>63</v>
      </c>
      <c r="D893" s="102"/>
      <c r="E893" s="102"/>
      <c r="F893" s="102"/>
      <c r="G893" s="102"/>
      <c r="H893" s="41"/>
      <c r="I893" s="42"/>
      <c r="J893" s="42"/>
      <c r="K893" s="42"/>
      <c r="L893" s="45"/>
      <c r="M893" s="42"/>
      <c r="N893" s="49">
        <v>5036.21</v>
      </c>
      <c r="O893" s="42"/>
      <c r="P893" s="50">
        <v>5675.8134999999993</v>
      </c>
      <c r="Q893" s="82"/>
      <c r="R893" s="82"/>
      <c r="S893" s="82"/>
      <c r="T893" s="82"/>
      <c r="U893" s="156"/>
      <c r="V893" s="82"/>
      <c r="W893" s="164"/>
      <c r="X893" s="82"/>
      <c r="Y893" s="82"/>
      <c r="Z893" s="82"/>
      <c r="AA893" s="82"/>
      <c r="AB893" s="145"/>
      <c r="AC893" s="145"/>
      <c r="AD893" s="145"/>
      <c r="AE893" s="145"/>
      <c r="AF893" s="145"/>
      <c r="AG893" s="145"/>
      <c r="AH893" s="145"/>
      <c r="AI893" s="145"/>
      <c r="AJ893" s="145"/>
      <c r="AK893" s="145"/>
      <c r="AL893" s="145"/>
      <c r="AM893" s="145"/>
      <c r="AN893" s="145"/>
      <c r="AO893" s="145"/>
      <c r="AP893" s="145"/>
      <c r="AQ893" s="145"/>
      <c r="AR893" s="145"/>
      <c r="AS893" s="145"/>
      <c r="AT893" s="145"/>
      <c r="AU893" s="145"/>
      <c r="AV893" s="146"/>
      <c r="AW893" s="146"/>
      <c r="AX893" s="146"/>
      <c r="AY893" s="146"/>
      <c r="AZ893" s="145"/>
      <c r="BA893" s="146"/>
      <c r="BB893" s="145"/>
      <c r="BC893" s="145"/>
      <c r="BD893" s="145"/>
      <c r="BE893" s="145"/>
      <c r="BF893" s="145"/>
      <c r="BG893" s="145"/>
      <c r="BH893" s="145"/>
      <c r="BI893" s="145"/>
      <c r="BJ893" s="145"/>
      <c r="BK893" s="145"/>
    </row>
    <row r="894" spans="1:63" s="147" customFormat="1" ht="15" x14ac:dyDescent="0.25">
      <c r="A894" s="39" t="s">
        <v>734</v>
      </c>
      <c r="B894" s="97" t="s">
        <v>179</v>
      </c>
      <c r="C894" s="103" t="s">
        <v>180</v>
      </c>
      <c r="D894" s="103"/>
      <c r="E894" s="103"/>
      <c r="F894" s="103"/>
      <c r="G894" s="103"/>
      <c r="H894" s="41" t="s">
        <v>170</v>
      </c>
      <c r="I894" s="42">
        <f>I888</f>
        <v>2.8000000000000001E-2</v>
      </c>
      <c r="J894" s="43">
        <v>1</v>
      </c>
      <c r="K894" s="44">
        <f>K888</f>
        <v>2.8000000000000001E-2</v>
      </c>
      <c r="L894" s="49">
        <v>5719.62</v>
      </c>
      <c r="M894" s="62">
        <v>1.25</v>
      </c>
      <c r="N894" s="49">
        <v>7149.53</v>
      </c>
      <c r="O894" s="42"/>
      <c r="P894" s="50">
        <v>7862.8888888888887</v>
      </c>
      <c r="Q894" s="82"/>
      <c r="R894" s="82"/>
      <c r="S894" s="82"/>
      <c r="T894" s="82"/>
      <c r="U894" s="156"/>
      <c r="V894" s="82"/>
      <c r="W894" s="151"/>
      <c r="X894" s="82"/>
      <c r="Y894" s="82"/>
      <c r="Z894" s="82"/>
      <c r="AA894" s="82"/>
      <c r="AB894" s="145"/>
      <c r="AC894" s="145"/>
      <c r="AD894" s="145"/>
      <c r="AE894" s="145"/>
      <c r="AF894" s="145"/>
      <c r="AG894" s="145"/>
      <c r="AH894" s="145"/>
      <c r="AI894" s="145"/>
      <c r="AJ894" s="145"/>
      <c r="AK894" s="145"/>
      <c r="AL894" s="145"/>
      <c r="AM894" s="145"/>
      <c r="AN894" s="145"/>
      <c r="AO894" s="145"/>
      <c r="AP894" s="145"/>
      <c r="AQ894" s="145"/>
      <c r="AR894" s="145"/>
      <c r="AS894" s="145"/>
      <c r="AT894" s="145"/>
      <c r="AU894" s="145"/>
      <c r="AV894" s="146"/>
      <c r="AW894" s="146"/>
      <c r="AX894" s="146"/>
      <c r="AY894" s="146"/>
      <c r="AZ894" s="145"/>
      <c r="BA894" s="146"/>
      <c r="BB894" s="145"/>
      <c r="BC894" s="145"/>
      <c r="BD894" s="145"/>
      <c r="BE894" s="145"/>
      <c r="BF894" s="145"/>
      <c r="BG894" s="145"/>
      <c r="BH894" s="145"/>
      <c r="BI894" s="145"/>
      <c r="BJ894" s="145"/>
      <c r="BK894" s="145"/>
    </row>
    <row r="895" spans="1:63" s="147" customFormat="1" ht="15" x14ac:dyDescent="0.25">
      <c r="A895" s="59"/>
      <c r="B895" s="98"/>
      <c r="C895" s="102" t="s">
        <v>63</v>
      </c>
      <c r="D895" s="102"/>
      <c r="E895" s="102"/>
      <c r="F895" s="102"/>
      <c r="G895" s="102"/>
      <c r="H895" s="41"/>
      <c r="I895" s="42"/>
      <c r="J895" s="42"/>
      <c r="K895" s="42"/>
      <c r="L895" s="45"/>
      <c r="M895" s="42"/>
      <c r="N895" s="45"/>
      <c r="O895" s="42"/>
      <c r="P895" s="50">
        <v>7862.8888888888887</v>
      </c>
      <c r="Q895" s="82"/>
      <c r="R895" s="82"/>
      <c r="S895" s="82"/>
      <c r="T895" s="82"/>
      <c r="U895" s="156"/>
      <c r="V895" s="82"/>
      <c r="W895" s="166"/>
      <c r="X895" s="82"/>
      <c r="Y895" s="82"/>
      <c r="Z895" s="82"/>
      <c r="AA895" s="82"/>
      <c r="AB895" s="145"/>
      <c r="AC895" s="145"/>
      <c r="AD895" s="145"/>
      <c r="AE895" s="145"/>
      <c r="AF895" s="145"/>
      <c r="AG895" s="145"/>
      <c r="AH895" s="145"/>
      <c r="AI895" s="145"/>
      <c r="AJ895" s="145"/>
      <c r="AK895" s="145"/>
      <c r="AL895" s="145"/>
      <c r="AM895" s="145"/>
      <c r="AN895" s="145"/>
      <c r="AO895" s="145"/>
      <c r="AP895" s="145"/>
      <c r="AQ895" s="145"/>
      <c r="AR895" s="145"/>
      <c r="AS895" s="145"/>
      <c r="AT895" s="145"/>
      <c r="AU895" s="145"/>
      <c r="AV895" s="146"/>
      <c r="AW895" s="146"/>
      <c r="AX895" s="146"/>
      <c r="AY895" s="146"/>
      <c r="AZ895" s="145"/>
      <c r="BA895" s="146"/>
      <c r="BB895" s="145"/>
      <c r="BC895" s="145"/>
      <c r="BD895" s="145"/>
      <c r="BE895" s="145"/>
      <c r="BF895" s="145"/>
      <c r="BG895" s="145"/>
      <c r="BH895" s="145"/>
      <c r="BI895" s="145"/>
      <c r="BJ895" s="145"/>
      <c r="BK895" s="145"/>
    </row>
    <row r="896" spans="1:63" s="147" customFormat="1" ht="15" x14ac:dyDescent="0.25">
      <c r="A896" s="39" t="s">
        <v>735</v>
      </c>
      <c r="B896" s="97" t="s">
        <v>182</v>
      </c>
      <c r="C896" s="103" t="s">
        <v>183</v>
      </c>
      <c r="D896" s="103"/>
      <c r="E896" s="103"/>
      <c r="F896" s="103"/>
      <c r="G896" s="103"/>
      <c r="H896" s="41" t="s">
        <v>71</v>
      </c>
      <c r="I896" s="42">
        <v>2.7900600000000001E-2</v>
      </c>
      <c r="J896" s="43">
        <v>1</v>
      </c>
      <c r="K896" s="64">
        <v>2.7900600000000001E-2</v>
      </c>
      <c r="L896" s="49">
        <v>39438.35</v>
      </c>
      <c r="M896" s="62">
        <v>1.37</v>
      </c>
      <c r="N896" s="49">
        <v>54030.54</v>
      </c>
      <c r="O896" s="42"/>
      <c r="P896" s="50">
        <v>1733.6019999999999</v>
      </c>
      <c r="Q896" s="82"/>
      <c r="R896" s="82"/>
      <c r="S896" s="82"/>
      <c r="T896" s="82"/>
      <c r="U896" s="156"/>
      <c r="V896" s="82"/>
      <c r="W896" s="151"/>
      <c r="X896" s="82"/>
      <c r="Y896" s="82"/>
      <c r="Z896" s="82"/>
      <c r="AA896" s="82"/>
      <c r="AB896" s="145"/>
      <c r="AC896" s="145"/>
      <c r="AD896" s="145"/>
      <c r="AE896" s="145"/>
      <c r="AF896" s="145"/>
      <c r="AG896" s="145"/>
      <c r="AH896" s="145"/>
      <c r="AI896" s="145"/>
      <c r="AJ896" s="145"/>
      <c r="AK896" s="145"/>
      <c r="AL896" s="145"/>
      <c r="AM896" s="145"/>
      <c r="AN896" s="145"/>
      <c r="AO896" s="145"/>
      <c r="AP896" s="145"/>
      <c r="AQ896" s="145"/>
      <c r="AR896" s="145"/>
      <c r="AS896" s="145"/>
      <c r="AT896" s="145"/>
      <c r="AU896" s="145"/>
      <c r="AV896" s="146"/>
      <c r="AW896" s="146"/>
      <c r="AX896" s="146"/>
      <c r="AY896" s="146"/>
      <c r="AZ896" s="145"/>
      <c r="BA896" s="146"/>
      <c r="BB896" s="145"/>
      <c r="BC896" s="145"/>
      <c r="BD896" s="145"/>
      <c r="BE896" s="145"/>
      <c r="BF896" s="145"/>
      <c r="BG896" s="145"/>
      <c r="BH896" s="145"/>
      <c r="BI896" s="145"/>
      <c r="BJ896" s="145"/>
      <c r="BK896" s="145"/>
    </row>
    <row r="897" spans="1:63" s="147" customFormat="1" ht="15" x14ac:dyDescent="0.25">
      <c r="A897" s="59"/>
      <c r="B897" s="98"/>
      <c r="C897" s="102" t="s">
        <v>63</v>
      </c>
      <c r="D897" s="102"/>
      <c r="E897" s="102"/>
      <c r="F897" s="102"/>
      <c r="G897" s="102"/>
      <c r="H897" s="41"/>
      <c r="I897" s="42"/>
      <c r="J897" s="42"/>
      <c r="K897" s="42"/>
      <c r="L897" s="45"/>
      <c r="M897" s="42"/>
      <c r="N897" s="45"/>
      <c r="O897" s="42"/>
      <c r="P897" s="50">
        <v>1733.6019999999999</v>
      </c>
      <c r="Q897" s="82"/>
      <c r="R897" s="82"/>
      <c r="S897" s="82"/>
      <c r="T897" s="82"/>
      <c r="U897" s="156"/>
      <c r="V897" s="82"/>
      <c r="W897" s="169"/>
      <c r="X897" s="82"/>
      <c r="Y897" s="82"/>
      <c r="Z897" s="82"/>
      <c r="AA897" s="82"/>
      <c r="AB897" s="145"/>
      <c r="AC897" s="145"/>
      <c r="AD897" s="145"/>
      <c r="AE897" s="145"/>
      <c r="AF897" s="145"/>
      <c r="AG897" s="145"/>
      <c r="AH897" s="145"/>
      <c r="AI897" s="145"/>
      <c r="AJ897" s="145"/>
      <c r="AK897" s="145"/>
      <c r="AL897" s="145"/>
      <c r="AM897" s="145"/>
      <c r="AN897" s="145"/>
      <c r="AO897" s="145"/>
      <c r="AP897" s="145"/>
      <c r="AQ897" s="145"/>
      <c r="AR897" s="145"/>
      <c r="AS897" s="145"/>
      <c r="AT897" s="145"/>
      <c r="AU897" s="145"/>
      <c r="AV897" s="146"/>
      <c r="AW897" s="146"/>
      <c r="AX897" s="146"/>
      <c r="AY897" s="146"/>
      <c r="AZ897" s="145"/>
      <c r="BA897" s="146"/>
      <c r="BB897" s="145"/>
      <c r="BC897" s="145"/>
      <c r="BD897" s="145"/>
      <c r="BE897" s="145"/>
      <c r="BF897" s="145"/>
      <c r="BG897" s="145"/>
      <c r="BH897" s="145"/>
      <c r="BI897" s="145"/>
      <c r="BJ897" s="145"/>
      <c r="BK897" s="145"/>
    </row>
    <row r="898" spans="1:63" s="147" customFormat="1" ht="15" x14ac:dyDescent="0.25">
      <c r="A898" s="39" t="s">
        <v>736</v>
      </c>
      <c r="B898" s="97" t="s">
        <v>185</v>
      </c>
      <c r="C898" s="103" t="s">
        <v>186</v>
      </c>
      <c r="D898" s="103"/>
      <c r="E898" s="103"/>
      <c r="F898" s="103"/>
      <c r="G898" s="103"/>
      <c r="H898" s="41" t="s">
        <v>55</v>
      </c>
      <c r="I898" s="42">
        <v>0.1053</v>
      </c>
      <c r="J898" s="43">
        <v>1</v>
      </c>
      <c r="K898" s="44">
        <v>0.1053</v>
      </c>
      <c r="L898" s="45"/>
      <c r="M898" s="42"/>
      <c r="N898" s="45"/>
      <c r="O898" s="42"/>
      <c r="P898" s="50"/>
      <c r="Q898" s="82"/>
      <c r="R898" s="82"/>
      <c r="S898" s="82"/>
      <c r="T898" s="82"/>
      <c r="U898" s="153"/>
      <c r="V898" s="82"/>
      <c r="W898" s="151"/>
      <c r="X898" s="82"/>
      <c r="Y898" s="82"/>
      <c r="Z898" s="82"/>
      <c r="AA898" s="82"/>
      <c r="AB898" s="145"/>
      <c r="AC898" s="145"/>
      <c r="AD898" s="145"/>
      <c r="AE898" s="145"/>
      <c r="AF898" s="145"/>
      <c r="AG898" s="145"/>
      <c r="AH898" s="145"/>
      <c r="AI898" s="145"/>
      <c r="AJ898" s="145"/>
      <c r="AK898" s="145"/>
      <c r="AL898" s="145"/>
      <c r="AM898" s="145"/>
      <c r="AN898" s="145"/>
      <c r="AO898" s="145"/>
      <c r="AP898" s="145"/>
      <c r="AQ898" s="145"/>
      <c r="AR898" s="145"/>
      <c r="AS898" s="145"/>
      <c r="AT898" s="145"/>
      <c r="AU898" s="145"/>
      <c r="AV898" s="146"/>
      <c r="AW898" s="146"/>
      <c r="AX898" s="146"/>
      <c r="AY898" s="146"/>
      <c r="AZ898" s="145"/>
      <c r="BA898" s="146"/>
      <c r="BB898" s="145"/>
      <c r="BC898" s="145"/>
      <c r="BD898" s="145"/>
      <c r="BE898" s="145"/>
      <c r="BF898" s="145"/>
      <c r="BG898" s="145"/>
      <c r="BH898" s="145"/>
      <c r="BI898" s="145"/>
      <c r="BJ898" s="145"/>
      <c r="BK898" s="145"/>
    </row>
    <row r="899" spans="1:63" s="147" customFormat="1" ht="15" x14ac:dyDescent="0.25">
      <c r="A899" s="47"/>
      <c r="B899" s="48"/>
      <c r="C899" s="102" t="s">
        <v>56</v>
      </c>
      <c r="D899" s="102"/>
      <c r="E899" s="102"/>
      <c r="F899" s="102"/>
      <c r="G899" s="102"/>
      <c r="H899" s="41"/>
      <c r="I899" s="42"/>
      <c r="J899" s="42"/>
      <c r="K899" s="42"/>
      <c r="L899" s="45"/>
      <c r="M899" s="42"/>
      <c r="N899" s="49"/>
      <c r="O899" s="42"/>
      <c r="P899" s="50">
        <v>1740.1569999999999</v>
      </c>
      <c r="Q899" s="157"/>
      <c r="R899" s="157"/>
      <c r="S899" s="82"/>
      <c r="T899" s="82"/>
      <c r="U899" s="156"/>
      <c r="V899" s="82"/>
      <c r="W899" s="166"/>
      <c r="X899" s="82"/>
      <c r="Y899" s="82"/>
      <c r="Z899" s="82"/>
      <c r="AA899" s="82"/>
      <c r="AB899" s="145"/>
      <c r="AC899" s="145"/>
      <c r="AD899" s="145"/>
      <c r="AE899" s="145"/>
      <c r="AF899" s="145"/>
      <c r="AG899" s="145"/>
      <c r="AH899" s="145"/>
      <c r="AI899" s="145"/>
      <c r="AJ899" s="145"/>
      <c r="AK899" s="145"/>
      <c r="AL899" s="145"/>
      <c r="AM899" s="145"/>
      <c r="AN899" s="145"/>
      <c r="AO899" s="145"/>
      <c r="AP899" s="145"/>
      <c r="AQ899" s="145"/>
      <c r="AR899" s="145"/>
      <c r="AS899" s="145"/>
      <c r="AT899" s="145"/>
      <c r="AU899" s="145"/>
      <c r="AV899" s="146"/>
      <c r="AW899" s="146"/>
      <c r="AX899" s="146"/>
      <c r="AY899" s="146"/>
      <c r="AZ899" s="145"/>
      <c r="BA899" s="146"/>
      <c r="BB899" s="145"/>
      <c r="BC899" s="145"/>
      <c r="BD899" s="145"/>
      <c r="BE899" s="145"/>
      <c r="BF899" s="145"/>
      <c r="BG899" s="145"/>
      <c r="BH899" s="145"/>
      <c r="BI899" s="145"/>
      <c r="BJ899" s="145"/>
      <c r="BK899" s="145"/>
    </row>
    <row r="900" spans="1:63" s="147" customFormat="1" ht="15" x14ac:dyDescent="0.25">
      <c r="A900" s="52"/>
      <c r="B900" s="53"/>
      <c r="C900" s="104" t="s">
        <v>57</v>
      </c>
      <c r="D900" s="104"/>
      <c r="E900" s="104"/>
      <c r="F900" s="104"/>
      <c r="G900" s="104"/>
      <c r="H900" s="54"/>
      <c r="I900" s="55"/>
      <c r="J900" s="55"/>
      <c r="K900" s="55"/>
      <c r="L900" s="56"/>
      <c r="M900" s="55"/>
      <c r="N900" s="56"/>
      <c r="O900" s="55"/>
      <c r="P900" s="77">
        <v>1709.4749999999999</v>
      </c>
      <c r="Q900" s="82"/>
      <c r="R900" s="82"/>
      <c r="S900" s="82"/>
      <c r="T900" s="82"/>
      <c r="U900" s="163"/>
      <c r="V900" s="82"/>
      <c r="W900" s="151"/>
      <c r="X900" s="82"/>
      <c r="Y900" s="82"/>
      <c r="Z900" s="82"/>
      <c r="AA900" s="82"/>
      <c r="AB900" s="145"/>
      <c r="AC900" s="145"/>
      <c r="AD900" s="145"/>
      <c r="AE900" s="145"/>
      <c r="AF900" s="145"/>
      <c r="AG900" s="145"/>
      <c r="AH900" s="145"/>
      <c r="AI900" s="145"/>
      <c r="AJ900" s="145"/>
      <c r="AK900" s="145"/>
      <c r="AL900" s="145"/>
      <c r="AM900" s="145"/>
      <c r="AN900" s="145"/>
      <c r="AO900" s="145"/>
      <c r="AP900" s="145"/>
      <c r="AQ900" s="145"/>
      <c r="AR900" s="145"/>
      <c r="AS900" s="145"/>
      <c r="AT900" s="145"/>
      <c r="AU900" s="145"/>
      <c r="AV900" s="146"/>
      <c r="AW900" s="146"/>
      <c r="AX900" s="146"/>
      <c r="AY900" s="146"/>
      <c r="AZ900" s="145"/>
      <c r="BA900" s="146"/>
      <c r="BB900" s="145"/>
      <c r="BC900" s="145"/>
      <c r="BD900" s="145"/>
      <c r="BE900" s="145"/>
      <c r="BF900" s="145"/>
      <c r="BG900" s="145"/>
      <c r="BH900" s="145"/>
      <c r="BI900" s="145"/>
      <c r="BJ900" s="145"/>
      <c r="BK900" s="145"/>
    </row>
    <row r="901" spans="1:63" s="147" customFormat="1" ht="15" x14ac:dyDescent="0.25">
      <c r="A901" s="52"/>
      <c r="B901" s="53" t="s">
        <v>187</v>
      </c>
      <c r="C901" s="104" t="s">
        <v>188</v>
      </c>
      <c r="D901" s="104"/>
      <c r="E901" s="104"/>
      <c r="F901" s="104"/>
      <c r="G901" s="104"/>
      <c r="H901" s="54" t="s">
        <v>60</v>
      </c>
      <c r="I901" s="58">
        <v>112</v>
      </c>
      <c r="J901" s="55"/>
      <c r="K901" s="58">
        <v>112</v>
      </c>
      <c r="L901" s="56"/>
      <c r="M901" s="55"/>
      <c r="N901" s="56"/>
      <c r="O901" s="55"/>
      <c r="P901" s="77">
        <v>1914.6120000000001</v>
      </c>
      <c r="Q901" s="82"/>
      <c r="R901" s="82"/>
      <c r="S901" s="82"/>
      <c r="T901" s="82"/>
      <c r="U901" s="163"/>
      <c r="V901" s="82"/>
      <c r="W901" s="160"/>
      <c r="X901" s="82"/>
      <c r="Y901" s="82"/>
      <c r="Z901" s="82"/>
      <c r="AA901" s="82"/>
      <c r="AB901" s="145"/>
      <c r="AC901" s="145"/>
      <c r="AD901" s="145"/>
      <c r="AE901" s="145"/>
      <c r="AF901" s="145"/>
      <c r="AG901" s="145"/>
      <c r="AH901" s="145"/>
      <c r="AI901" s="145"/>
      <c r="AJ901" s="145"/>
      <c r="AK901" s="145"/>
      <c r="AL901" s="145"/>
      <c r="AM901" s="145"/>
      <c r="AN901" s="145"/>
      <c r="AO901" s="145"/>
      <c r="AP901" s="145"/>
      <c r="AQ901" s="145"/>
      <c r="AR901" s="145"/>
      <c r="AS901" s="145"/>
      <c r="AT901" s="145"/>
      <c r="AU901" s="145"/>
      <c r="AV901" s="146"/>
      <c r="AW901" s="146"/>
      <c r="AX901" s="146"/>
      <c r="AY901" s="146"/>
      <c r="AZ901" s="145"/>
      <c r="BA901" s="146"/>
      <c r="BB901" s="145"/>
      <c r="BC901" s="145"/>
      <c r="BD901" s="145"/>
      <c r="BE901" s="145"/>
      <c r="BF901" s="145"/>
      <c r="BG901" s="145"/>
      <c r="BH901" s="145"/>
      <c r="BI901" s="145"/>
      <c r="BJ901" s="145"/>
      <c r="BK901" s="145"/>
    </row>
    <row r="902" spans="1:63" s="147" customFormat="1" ht="15" x14ac:dyDescent="0.25">
      <c r="A902" s="52"/>
      <c r="B902" s="53" t="s">
        <v>189</v>
      </c>
      <c r="C902" s="104" t="s">
        <v>190</v>
      </c>
      <c r="D902" s="104"/>
      <c r="E902" s="104"/>
      <c r="F902" s="104"/>
      <c r="G902" s="104"/>
      <c r="H902" s="54" t="s">
        <v>60</v>
      </c>
      <c r="I902" s="58">
        <v>65</v>
      </c>
      <c r="J902" s="55"/>
      <c r="K902" s="58">
        <v>65</v>
      </c>
      <c r="L902" s="56"/>
      <c r="M902" s="55"/>
      <c r="N902" s="56"/>
      <c r="O902" s="55"/>
      <c r="P902" s="77">
        <v>1111.1644999999999</v>
      </c>
      <c r="Q902" s="82"/>
      <c r="R902" s="82"/>
      <c r="S902" s="82"/>
      <c r="T902" s="82"/>
      <c r="U902" s="170"/>
      <c r="V902" s="82"/>
      <c r="W902" s="164"/>
      <c r="X902" s="82"/>
      <c r="Y902" s="82"/>
      <c r="Z902" s="82"/>
      <c r="AA902" s="82"/>
      <c r="AB902" s="145"/>
      <c r="AC902" s="145"/>
      <c r="AD902" s="145"/>
      <c r="AE902" s="145"/>
      <c r="AF902" s="145"/>
      <c r="AG902" s="145"/>
      <c r="AH902" s="145"/>
      <c r="AI902" s="145"/>
      <c r="AJ902" s="145"/>
      <c r="AK902" s="145"/>
      <c r="AL902" s="145"/>
      <c r="AM902" s="145"/>
      <c r="AN902" s="145"/>
      <c r="AO902" s="145"/>
      <c r="AP902" s="145"/>
      <c r="AQ902" s="145"/>
      <c r="AR902" s="145"/>
      <c r="AS902" s="145"/>
      <c r="AT902" s="145"/>
      <c r="AU902" s="145"/>
      <c r="AV902" s="146"/>
      <c r="AW902" s="146"/>
      <c r="AX902" s="146"/>
      <c r="AY902" s="146"/>
      <c r="AZ902" s="145"/>
      <c r="BA902" s="146"/>
      <c r="BB902" s="145"/>
      <c r="BC902" s="145"/>
      <c r="BD902" s="145"/>
      <c r="BE902" s="145"/>
      <c r="BF902" s="145"/>
      <c r="BG902" s="145"/>
      <c r="BH902" s="145"/>
      <c r="BI902" s="145"/>
      <c r="BJ902" s="145"/>
      <c r="BK902" s="145"/>
    </row>
    <row r="903" spans="1:63" s="147" customFormat="1" ht="15" x14ac:dyDescent="0.25">
      <c r="A903" s="59"/>
      <c r="B903" s="98"/>
      <c r="C903" s="102" t="s">
        <v>63</v>
      </c>
      <c r="D903" s="102"/>
      <c r="E903" s="102"/>
      <c r="F903" s="102"/>
      <c r="G903" s="102"/>
      <c r="H903" s="41"/>
      <c r="I903" s="42"/>
      <c r="J903" s="42"/>
      <c r="K903" s="42"/>
      <c r="L903" s="45"/>
      <c r="M903" s="42"/>
      <c r="N903" s="49">
        <v>35330.69</v>
      </c>
      <c r="O903" s="42"/>
      <c r="P903" s="50">
        <v>4765.9334999999992</v>
      </c>
      <c r="Q903" s="82"/>
      <c r="R903" s="82"/>
      <c r="S903" s="82"/>
      <c r="T903" s="82"/>
      <c r="U903" s="156"/>
      <c r="V903" s="82"/>
      <c r="W903" s="164"/>
      <c r="X903" s="82"/>
      <c r="Y903" s="82"/>
      <c r="Z903" s="82"/>
      <c r="AA903" s="82"/>
      <c r="AB903" s="145"/>
      <c r="AC903" s="145"/>
      <c r="AD903" s="145"/>
      <c r="AE903" s="145"/>
      <c r="AF903" s="145"/>
      <c r="AG903" s="145"/>
      <c r="AH903" s="145"/>
      <c r="AI903" s="145"/>
      <c r="AJ903" s="145"/>
      <c r="AK903" s="145"/>
      <c r="AL903" s="145"/>
      <c r="AM903" s="145"/>
      <c r="AN903" s="145"/>
      <c r="AO903" s="145"/>
      <c r="AP903" s="145"/>
      <c r="AQ903" s="145"/>
      <c r="AR903" s="145"/>
      <c r="AS903" s="145"/>
      <c r="AT903" s="145"/>
      <c r="AU903" s="145"/>
      <c r="AV903" s="146"/>
      <c r="AW903" s="146"/>
      <c r="AX903" s="146"/>
      <c r="AY903" s="146"/>
      <c r="AZ903" s="145"/>
      <c r="BA903" s="146"/>
      <c r="BB903" s="145"/>
      <c r="BC903" s="145"/>
      <c r="BD903" s="145"/>
      <c r="BE903" s="145"/>
      <c r="BF903" s="145"/>
      <c r="BG903" s="145"/>
      <c r="BH903" s="145"/>
      <c r="BI903" s="145"/>
      <c r="BJ903" s="145"/>
      <c r="BK903" s="145"/>
    </row>
    <row r="904" spans="1:63" s="147" customFormat="1" ht="15" x14ac:dyDescent="0.25">
      <c r="A904" s="39" t="s">
        <v>737</v>
      </c>
      <c r="B904" s="97" t="s">
        <v>192</v>
      </c>
      <c r="C904" s="103" t="s">
        <v>193</v>
      </c>
      <c r="D904" s="103"/>
      <c r="E904" s="103"/>
      <c r="F904" s="103"/>
      <c r="G904" s="103"/>
      <c r="H904" s="41" t="s">
        <v>170</v>
      </c>
      <c r="I904" s="42">
        <v>0.239292</v>
      </c>
      <c r="J904" s="43">
        <v>1</v>
      </c>
      <c r="K904" s="68">
        <v>0.239292</v>
      </c>
      <c r="L904" s="45"/>
      <c r="M904" s="42"/>
      <c r="N904" s="49">
        <v>6212.75</v>
      </c>
      <c r="O904" s="42"/>
      <c r="P904" s="50">
        <v>1709.6589999999999</v>
      </c>
      <c r="Q904" s="82"/>
      <c r="R904" s="82"/>
      <c r="S904" s="82"/>
      <c r="T904" s="82"/>
      <c r="U904" s="156"/>
      <c r="V904" s="82"/>
      <c r="W904" s="151"/>
      <c r="X904" s="82"/>
      <c r="Y904" s="82"/>
      <c r="Z904" s="82"/>
      <c r="AA904" s="82"/>
      <c r="AB904" s="145"/>
      <c r="AC904" s="145"/>
      <c r="AD904" s="145"/>
      <c r="AE904" s="145"/>
      <c r="AF904" s="145"/>
      <c r="AG904" s="145"/>
      <c r="AH904" s="145"/>
      <c r="AI904" s="145"/>
      <c r="AJ904" s="145"/>
      <c r="AK904" s="145"/>
      <c r="AL904" s="145"/>
      <c r="AM904" s="145"/>
      <c r="AN904" s="145"/>
      <c r="AO904" s="145"/>
      <c r="AP904" s="145"/>
      <c r="AQ904" s="145"/>
      <c r="AR904" s="145"/>
      <c r="AS904" s="145"/>
      <c r="AT904" s="145"/>
      <c r="AU904" s="145"/>
      <c r="AV904" s="146"/>
      <c r="AW904" s="146"/>
      <c r="AX904" s="146"/>
      <c r="AY904" s="146"/>
      <c r="AZ904" s="145"/>
      <c r="BA904" s="146"/>
      <c r="BB904" s="145"/>
      <c r="BC904" s="145"/>
      <c r="BD904" s="145"/>
      <c r="BE904" s="145"/>
      <c r="BF904" s="145"/>
      <c r="BG904" s="145"/>
      <c r="BH904" s="145"/>
      <c r="BI904" s="145"/>
      <c r="BJ904" s="145"/>
      <c r="BK904" s="145"/>
    </row>
    <row r="905" spans="1:63" s="147" customFormat="1" ht="15" x14ac:dyDescent="0.25">
      <c r="A905" s="59"/>
      <c r="B905" s="98"/>
      <c r="C905" s="102" t="s">
        <v>63</v>
      </c>
      <c r="D905" s="102"/>
      <c r="E905" s="102"/>
      <c r="F905" s="102"/>
      <c r="G905" s="102"/>
      <c r="H905" s="41"/>
      <c r="I905" s="42"/>
      <c r="J905" s="42"/>
      <c r="K905" s="42"/>
      <c r="L905" s="45"/>
      <c r="M905" s="42"/>
      <c r="N905" s="45"/>
      <c r="O905" s="42"/>
      <c r="P905" s="50">
        <v>1709.6589999999999</v>
      </c>
      <c r="Q905" s="82"/>
      <c r="R905" s="82"/>
      <c r="S905" s="82"/>
      <c r="T905" s="82"/>
      <c r="U905" s="156"/>
      <c r="V905" s="82"/>
      <c r="W905" s="176"/>
      <c r="X905" s="82"/>
      <c r="Y905" s="82"/>
      <c r="Z905" s="82"/>
      <c r="AA905" s="82"/>
      <c r="AB905" s="145"/>
      <c r="AC905" s="145"/>
      <c r="AD905" s="145"/>
      <c r="AE905" s="145"/>
      <c r="AF905" s="145"/>
      <c r="AG905" s="145"/>
      <c r="AH905" s="145"/>
      <c r="AI905" s="145"/>
      <c r="AJ905" s="145"/>
      <c r="AK905" s="145"/>
      <c r="AL905" s="145"/>
      <c r="AM905" s="145"/>
      <c r="AN905" s="145"/>
      <c r="AO905" s="145"/>
      <c r="AP905" s="145"/>
      <c r="AQ905" s="145"/>
      <c r="AR905" s="145"/>
      <c r="AS905" s="145"/>
      <c r="AT905" s="145"/>
      <c r="AU905" s="145"/>
      <c r="AV905" s="146"/>
      <c r="AW905" s="146"/>
      <c r="AX905" s="146"/>
      <c r="AY905" s="146"/>
      <c r="AZ905" s="145"/>
      <c r="BA905" s="146"/>
      <c r="BB905" s="145"/>
      <c r="BC905" s="145"/>
      <c r="BD905" s="145"/>
      <c r="BE905" s="145"/>
      <c r="BF905" s="145"/>
      <c r="BG905" s="145"/>
      <c r="BH905" s="145"/>
      <c r="BI905" s="145"/>
      <c r="BJ905" s="145"/>
      <c r="BK905" s="145"/>
    </row>
    <row r="906" spans="1:63" s="147" customFormat="1" ht="15" x14ac:dyDescent="0.25">
      <c r="A906" s="39" t="s">
        <v>738</v>
      </c>
      <c r="B906" s="97" t="s">
        <v>195</v>
      </c>
      <c r="C906" s="103" t="s">
        <v>196</v>
      </c>
      <c r="D906" s="103"/>
      <c r="E906" s="103"/>
      <c r="F906" s="103"/>
      <c r="G906" s="103"/>
      <c r="H906" s="41" t="s">
        <v>55</v>
      </c>
      <c r="I906" s="42">
        <v>0.1053</v>
      </c>
      <c r="J906" s="43">
        <v>1</v>
      </c>
      <c r="K906" s="44">
        <v>0.1053</v>
      </c>
      <c r="L906" s="45"/>
      <c r="M906" s="42"/>
      <c r="N906" s="45"/>
      <c r="O906" s="42"/>
      <c r="P906" s="50"/>
      <c r="Q906" s="82"/>
      <c r="R906" s="82"/>
      <c r="S906" s="82"/>
      <c r="T906" s="82"/>
      <c r="U906" s="153"/>
      <c r="V906" s="82"/>
      <c r="W906" s="151"/>
      <c r="X906" s="82"/>
      <c r="Y906" s="82"/>
      <c r="Z906" s="82"/>
      <c r="AA906" s="82"/>
      <c r="AB906" s="145"/>
      <c r="AC906" s="145"/>
      <c r="AD906" s="145"/>
      <c r="AE906" s="145"/>
      <c r="AF906" s="145"/>
      <c r="AG906" s="145"/>
      <c r="AH906" s="145"/>
      <c r="AI906" s="145"/>
      <c r="AJ906" s="145"/>
      <c r="AK906" s="145"/>
      <c r="AL906" s="145"/>
      <c r="AM906" s="145"/>
      <c r="AN906" s="145"/>
      <c r="AO906" s="145"/>
      <c r="AP906" s="145"/>
      <c r="AQ906" s="145"/>
      <c r="AR906" s="145"/>
      <c r="AS906" s="145"/>
      <c r="AT906" s="145"/>
      <c r="AU906" s="145"/>
      <c r="AV906" s="146"/>
      <c r="AW906" s="146"/>
      <c r="AX906" s="146"/>
      <c r="AY906" s="146"/>
      <c r="AZ906" s="145"/>
      <c r="BA906" s="146"/>
      <c r="BB906" s="145"/>
      <c r="BC906" s="145"/>
      <c r="BD906" s="145"/>
      <c r="BE906" s="145"/>
      <c r="BF906" s="145"/>
      <c r="BG906" s="145"/>
      <c r="BH906" s="145"/>
      <c r="BI906" s="145"/>
      <c r="BJ906" s="145"/>
      <c r="BK906" s="145"/>
    </row>
    <row r="907" spans="1:63" s="147" customFormat="1" ht="15" x14ac:dyDescent="0.25">
      <c r="A907" s="47"/>
      <c r="B907" s="48"/>
      <c r="C907" s="102" t="s">
        <v>56</v>
      </c>
      <c r="D907" s="102"/>
      <c r="E907" s="102"/>
      <c r="F907" s="102"/>
      <c r="G907" s="102"/>
      <c r="H907" s="41"/>
      <c r="I907" s="42"/>
      <c r="J907" s="42"/>
      <c r="K907" s="42"/>
      <c r="L907" s="45"/>
      <c r="M907" s="42"/>
      <c r="N907" s="49"/>
      <c r="O907" s="42"/>
      <c r="P907" s="90">
        <v>206.03399999999999</v>
      </c>
      <c r="Q907" s="157"/>
      <c r="R907" s="157"/>
      <c r="S907" s="82"/>
      <c r="T907" s="82"/>
      <c r="U907" s="156"/>
      <c r="V907" s="82"/>
      <c r="W907" s="166"/>
      <c r="X907" s="82"/>
      <c r="Y907" s="82"/>
      <c r="Z907" s="82"/>
      <c r="AA907" s="82"/>
      <c r="AB907" s="145"/>
      <c r="AC907" s="145"/>
      <c r="AD907" s="145"/>
      <c r="AE907" s="145"/>
      <c r="AF907" s="145"/>
      <c r="AG907" s="145"/>
      <c r="AH907" s="145"/>
      <c r="AI907" s="145"/>
      <c r="AJ907" s="145"/>
      <c r="AK907" s="145"/>
      <c r="AL907" s="145"/>
      <c r="AM907" s="145"/>
      <c r="AN907" s="145"/>
      <c r="AO907" s="145"/>
      <c r="AP907" s="145"/>
      <c r="AQ907" s="145"/>
      <c r="AR907" s="145"/>
      <c r="AS907" s="145"/>
      <c r="AT907" s="145"/>
      <c r="AU907" s="145"/>
      <c r="AV907" s="146"/>
      <c r="AW907" s="146"/>
      <c r="AX907" s="146"/>
      <c r="AY907" s="146"/>
      <c r="AZ907" s="145"/>
      <c r="BA907" s="146"/>
      <c r="BB907" s="145"/>
      <c r="BC907" s="145"/>
      <c r="BD907" s="145"/>
      <c r="BE907" s="145"/>
      <c r="BF907" s="145"/>
      <c r="BG907" s="145"/>
      <c r="BH907" s="145"/>
      <c r="BI907" s="145"/>
      <c r="BJ907" s="145"/>
      <c r="BK907" s="145"/>
    </row>
    <row r="908" spans="1:63" s="147" customFormat="1" ht="15" x14ac:dyDescent="0.25">
      <c r="A908" s="52"/>
      <c r="B908" s="53"/>
      <c r="C908" s="104" t="s">
        <v>57</v>
      </c>
      <c r="D908" s="104"/>
      <c r="E908" s="104"/>
      <c r="F908" s="104"/>
      <c r="G908" s="104"/>
      <c r="H908" s="54"/>
      <c r="I908" s="55"/>
      <c r="J908" s="55"/>
      <c r="K908" s="55"/>
      <c r="L908" s="56"/>
      <c r="M908" s="55"/>
      <c r="N908" s="56"/>
      <c r="O908" s="55"/>
      <c r="P908" s="77">
        <v>184.57499999999999</v>
      </c>
      <c r="Q908" s="82"/>
      <c r="R908" s="82"/>
      <c r="S908" s="82"/>
      <c r="T908" s="82"/>
      <c r="U908" s="170"/>
      <c r="V908" s="82"/>
      <c r="W908" s="151"/>
      <c r="X908" s="82"/>
      <c r="Y908" s="82"/>
      <c r="Z908" s="82"/>
      <c r="AA908" s="82"/>
      <c r="AB908" s="145"/>
      <c r="AC908" s="145"/>
      <c r="AD908" s="145"/>
      <c r="AE908" s="145"/>
      <c r="AF908" s="145"/>
      <c r="AG908" s="145"/>
      <c r="AH908" s="145"/>
      <c r="AI908" s="145"/>
      <c r="AJ908" s="145"/>
      <c r="AK908" s="145"/>
      <c r="AL908" s="145"/>
      <c r="AM908" s="145"/>
      <c r="AN908" s="145"/>
      <c r="AO908" s="145"/>
      <c r="AP908" s="145"/>
      <c r="AQ908" s="145"/>
      <c r="AR908" s="145"/>
      <c r="AS908" s="145"/>
      <c r="AT908" s="145"/>
      <c r="AU908" s="145"/>
      <c r="AV908" s="146"/>
      <c r="AW908" s="146"/>
      <c r="AX908" s="146"/>
      <c r="AY908" s="146"/>
      <c r="AZ908" s="145"/>
      <c r="BA908" s="146"/>
      <c r="BB908" s="145"/>
      <c r="BC908" s="145"/>
      <c r="BD908" s="145"/>
      <c r="BE908" s="145"/>
      <c r="BF908" s="145"/>
      <c r="BG908" s="145"/>
      <c r="BH908" s="145"/>
      <c r="BI908" s="145"/>
      <c r="BJ908" s="145"/>
      <c r="BK908" s="145"/>
    </row>
    <row r="909" spans="1:63" s="147" customFormat="1" ht="15" x14ac:dyDescent="0.25">
      <c r="A909" s="52"/>
      <c r="B909" s="53" t="s">
        <v>187</v>
      </c>
      <c r="C909" s="104" t="s">
        <v>188</v>
      </c>
      <c r="D909" s="104"/>
      <c r="E909" s="104"/>
      <c r="F909" s="104"/>
      <c r="G909" s="104"/>
      <c r="H909" s="54" t="s">
        <v>60</v>
      </c>
      <c r="I909" s="58">
        <v>112</v>
      </c>
      <c r="J909" s="55"/>
      <c r="K909" s="58">
        <v>112</v>
      </c>
      <c r="L909" s="56"/>
      <c r="M909" s="55"/>
      <c r="N909" s="56"/>
      <c r="O909" s="55"/>
      <c r="P909" s="77">
        <v>206.72399999999996</v>
      </c>
      <c r="Q909" s="82"/>
      <c r="R909" s="82"/>
      <c r="S909" s="82"/>
      <c r="T909" s="82"/>
      <c r="U909" s="170"/>
      <c r="V909" s="82"/>
      <c r="W909" s="160"/>
      <c r="X909" s="82"/>
      <c r="Y909" s="82"/>
      <c r="Z909" s="82"/>
      <c r="AA909" s="82"/>
      <c r="AB909" s="145"/>
      <c r="AC909" s="145"/>
      <c r="AD909" s="145"/>
      <c r="AE909" s="145"/>
      <c r="AF909" s="145"/>
      <c r="AG909" s="145"/>
      <c r="AH909" s="145"/>
      <c r="AI909" s="145"/>
      <c r="AJ909" s="145"/>
      <c r="AK909" s="145"/>
      <c r="AL909" s="145"/>
      <c r="AM909" s="145"/>
      <c r="AN909" s="145"/>
      <c r="AO909" s="145"/>
      <c r="AP909" s="145"/>
      <c r="AQ909" s="145"/>
      <c r="AR909" s="145"/>
      <c r="AS909" s="145"/>
      <c r="AT909" s="145"/>
      <c r="AU909" s="145"/>
      <c r="AV909" s="146"/>
      <c r="AW909" s="146"/>
      <c r="AX909" s="146"/>
      <c r="AY909" s="146"/>
      <c r="AZ909" s="145"/>
      <c r="BA909" s="146"/>
      <c r="BB909" s="145"/>
      <c r="BC909" s="145"/>
      <c r="BD909" s="145"/>
      <c r="BE909" s="145"/>
      <c r="BF909" s="145"/>
      <c r="BG909" s="145"/>
      <c r="BH909" s="145"/>
      <c r="BI909" s="145"/>
      <c r="BJ909" s="145"/>
      <c r="BK909" s="145"/>
    </row>
    <row r="910" spans="1:63" s="147" customFormat="1" ht="15" x14ac:dyDescent="0.25">
      <c r="A910" s="52"/>
      <c r="B910" s="53" t="s">
        <v>189</v>
      </c>
      <c r="C910" s="104" t="s">
        <v>190</v>
      </c>
      <c r="D910" s="104"/>
      <c r="E910" s="104"/>
      <c r="F910" s="104"/>
      <c r="G910" s="104"/>
      <c r="H910" s="54" t="s">
        <v>60</v>
      </c>
      <c r="I910" s="58">
        <v>65</v>
      </c>
      <c r="J910" s="55"/>
      <c r="K910" s="58">
        <v>65</v>
      </c>
      <c r="L910" s="56"/>
      <c r="M910" s="55"/>
      <c r="N910" s="56"/>
      <c r="O910" s="55"/>
      <c r="P910" s="77">
        <v>119.97949999999999</v>
      </c>
      <c r="Q910" s="82"/>
      <c r="R910" s="82"/>
      <c r="S910" s="82"/>
      <c r="T910" s="82"/>
      <c r="U910" s="170"/>
      <c r="V910" s="82"/>
      <c r="W910" s="164"/>
      <c r="X910" s="82"/>
      <c r="Y910" s="82"/>
      <c r="Z910" s="82"/>
      <c r="AA910" s="82"/>
      <c r="AB910" s="145"/>
      <c r="AC910" s="145"/>
      <c r="AD910" s="145"/>
      <c r="AE910" s="145"/>
      <c r="AF910" s="145"/>
      <c r="AG910" s="145"/>
      <c r="AH910" s="145"/>
      <c r="AI910" s="145"/>
      <c r="AJ910" s="145"/>
      <c r="AK910" s="145"/>
      <c r="AL910" s="145"/>
      <c r="AM910" s="145"/>
      <c r="AN910" s="145"/>
      <c r="AO910" s="145"/>
      <c r="AP910" s="145"/>
      <c r="AQ910" s="145"/>
      <c r="AR910" s="145"/>
      <c r="AS910" s="145"/>
      <c r="AT910" s="145"/>
      <c r="AU910" s="145"/>
      <c r="AV910" s="146"/>
      <c r="AW910" s="146"/>
      <c r="AX910" s="146"/>
      <c r="AY910" s="146"/>
      <c r="AZ910" s="145"/>
      <c r="BA910" s="146"/>
      <c r="BB910" s="145"/>
      <c r="BC910" s="145"/>
      <c r="BD910" s="145"/>
      <c r="BE910" s="145"/>
      <c r="BF910" s="145"/>
      <c r="BG910" s="145"/>
      <c r="BH910" s="145"/>
      <c r="BI910" s="145"/>
      <c r="BJ910" s="145"/>
      <c r="BK910" s="145"/>
    </row>
    <row r="911" spans="1:63" s="147" customFormat="1" ht="15" x14ac:dyDescent="0.25">
      <c r="A911" s="59"/>
      <c r="B911" s="98"/>
      <c r="C911" s="102" t="s">
        <v>63</v>
      </c>
      <c r="D911" s="102"/>
      <c r="E911" s="102"/>
      <c r="F911" s="102"/>
      <c r="G911" s="102"/>
      <c r="H911" s="41"/>
      <c r="I911" s="42"/>
      <c r="J911" s="42"/>
      <c r="K911" s="42"/>
      <c r="L911" s="45"/>
      <c r="M911" s="42"/>
      <c r="N911" s="49">
        <v>3949.28</v>
      </c>
      <c r="O911" s="42"/>
      <c r="P911" s="50">
        <v>532.73749999999995</v>
      </c>
      <c r="Q911" s="82"/>
      <c r="R911" s="82"/>
      <c r="S911" s="82"/>
      <c r="T911" s="82"/>
      <c r="U911" s="167"/>
      <c r="V911" s="82"/>
      <c r="W911" s="164"/>
      <c r="X911" s="82"/>
      <c r="Y911" s="82"/>
      <c r="Z911" s="82"/>
      <c r="AA911" s="82"/>
      <c r="AB911" s="145"/>
      <c r="AC911" s="145"/>
      <c r="AD911" s="145"/>
      <c r="AE911" s="145"/>
      <c r="AF911" s="145"/>
      <c r="AG911" s="145"/>
      <c r="AH911" s="145"/>
      <c r="AI911" s="145"/>
      <c r="AJ911" s="145"/>
      <c r="AK911" s="145"/>
      <c r="AL911" s="145"/>
      <c r="AM911" s="145"/>
      <c r="AN911" s="145"/>
      <c r="AO911" s="145"/>
      <c r="AP911" s="145"/>
      <c r="AQ911" s="145"/>
      <c r="AR911" s="145"/>
      <c r="AS911" s="145"/>
      <c r="AT911" s="145"/>
      <c r="AU911" s="145"/>
      <c r="AV911" s="146"/>
      <c r="AW911" s="146"/>
      <c r="AX911" s="146"/>
      <c r="AY911" s="146"/>
      <c r="AZ911" s="145"/>
      <c r="BA911" s="146"/>
      <c r="BB911" s="145"/>
      <c r="BC911" s="145"/>
      <c r="BD911" s="145"/>
      <c r="BE911" s="145"/>
      <c r="BF911" s="145"/>
      <c r="BG911" s="145"/>
      <c r="BH911" s="145"/>
      <c r="BI911" s="145"/>
      <c r="BJ911" s="145"/>
      <c r="BK911" s="145"/>
    </row>
    <row r="912" spans="1:63" s="147" customFormat="1" ht="15" x14ac:dyDescent="0.25">
      <c r="A912" s="39" t="s">
        <v>739</v>
      </c>
      <c r="B912" s="97" t="s">
        <v>192</v>
      </c>
      <c r="C912" s="103" t="s">
        <v>193</v>
      </c>
      <c r="D912" s="103"/>
      <c r="E912" s="103"/>
      <c r="F912" s="103"/>
      <c r="G912" s="103"/>
      <c r="H912" s="41" t="s">
        <v>170</v>
      </c>
      <c r="I912" s="42">
        <v>0.35893799999999998</v>
      </c>
      <c r="J912" s="43">
        <v>1</v>
      </c>
      <c r="K912" s="68">
        <v>0.35893799999999998</v>
      </c>
      <c r="L912" s="45"/>
      <c r="M912" s="42"/>
      <c r="N912" s="49">
        <v>6212.75</v>
      </c>
      <c r="O912" s="42"/>
      <c r="P912" s="50">
        <v>3714.4884999999995</v>
      </c>
      <c r="Q912" s="82"/>
      <c r="R912" s="82"/>
      <c r="S912" s="82"/>
      <c r="T912" s="82"/>
      <c r="U912" s="156"/>
      <c r="V912" s="82"/>
      <c r="W912" s="151"/>
      <c r="X912" s="82"/>
      <c r="Y912" s="82"/>
      <c r="Z912" s="82"/>
      <c r="AA912" s="82"/>
      <c r="AB912" s="145"/>
      <c r="AC912" s="145"/>
      <c r="AD912" s="145"/>
      <c r="AE912" s="145"/>
      <c r="AF912" s="145"/>
      <c r="AG912" s="145"/>
      <c r="AH912" s="145"/>
      <c r="AI912" s="145"/>
      <c r="AJ912" s="145"/>
      <c r="AK912" s="145"/>
      <c r="AL912" s="145"/>
      <c r="AM912" s="145"/>
      <c r="AN912" s="145"/>
      <c r="AO912" s="145"/>
      <c r="AP912" s="145"/>
      <c r="AQ912" s="145"/>
      <c r="AR912" s="145"/>
      <c r="AS912" s="145"/>
      <c r="AT912" s="145"/>
      <c r="AU912" s="145"/>
      <c r="AV912" s="146"/>
      <c r="AW912" s="146"/>
      <c r="AX912" s="146"/>
      <c r="AY912" s="146"/>
      <c r="AZ912" s="145"/>
      <c r="BA912" s="146"/>
      <c r="BB912" s="145"/>
      <c r="BC912" s="145"/>
      <c r="BD912" s="145"/>
      <c r="BE912" s="145"/>
      <c r="BF912" s="145"/>
      <c r="BG912" s="145"/>
      <c r="BH912" s="145"/>
      <c r="BI912" s="145"/>
      <c r="BJ912" s="145"/>
      <c r="BK912" s="145"/>
    </row>
    <row r="913" spans="1:63" s="147" customFormat="1" ht="15" x14ac:dyDescent="0.25">
      <c r="A913" s="59"/>
      <c r="B913" s="98"/>
      <c r="C913" s="102" t="s">
        <v>63</v>
      </c>
      <c r="D913" s="102"/>
      <c r="E913" s="102"/>
      <c r="F913" s="102"/>
      <c r="G913" s="102"/>
      <c r="H913" s="41"/>
      <c r="I913" s="42"/>
      <c r="J913" s="42"/>
      <c r="K913" s="42"/>
      <c r="L913" s="45"/>
      <c r="M913" s="42"/>
      <c r="N913" s="45"/>
      <c r="O913" s="42"/>
      <c r="P913" s="50">
        <v>3714.4884999999995</v>
      </c>
      <c r="Q913" s="82"/>
      <c r="R913" s="82"/>
      <c r="S913" s="82"/>
      <c r="T913" s="82"/>
      <c r="U913" s="156"/>
      <c r="V913" s="82"/>
      <c r="W913" s="176"/>
      <c r="X913" s="82"/>
      <c r="Y913" s="82"/>
      <c r="Z913" s="82"/>
      <c r="AA913" s="82"/>
      <c r="AB913" s="145"/>
      <c r="AC913" s="145"/>
      <c r="AD913" s="145"/>
      <c r="AE913" s="145"/>
      <c r="AF913" s="145"/>
      <c r="AG913" s="145"/>
      <c r="AH913" s="145"/>
      <c r="AI913" s="145"/>
      <c r="AJ913" s="145"/>
      <c r="AK913" s="145"/>
      <c r="AL913" s="145"/>
      <c r="AM913" s="145"/>
      <c r="AN913" s="145"/>
      <c r="AO913" s="145"/>
      <c r="AP913" s="145"/>
      <c r="AQ913" s="145"/>
      <c r="AR913" s="145"/>
      <c r="AS913" s="145"/>
      <c r="AT913" s="145"/>
      <c r="AU913" s="145"/>
      <c r="AV913" s="146"/>
      <c r="AW913" s="146"/>
      <c r="AX913" s="146"/>
      <c r="AY913" s="146"/>
      <c r="AZ913" s="145"/>
      <c r="BA913" s="146"/>
      <c r="BB913" s="145"/>
      <c r="BC913" s="145"/>
      <c r="BD913" s="145"/>
      <c r="BE913" s="145"/>
      <c r="BF913" s="145"/>
      <c r="BG913" s="145"/>
      <c r="BH913" s="145"/>
      <c r="BI913" s="145"/>
      <c r="BJ913" s="145"/>
      <c r="BK913" s="145"/>
    </row>
    <row r="914" spans="1:63" s="147" customFormat="1" ht="15" x14ac:dyDescent="0.25">
      <c r="A914" s="39" t="s">
        <v>740</v>
      </c>
      <c r="B914" s="97" t="s">
        <v>199</v>
      </c>
      <c r="C914" s="103" t="s">
        <v>200</v>
      </c>
      <c r="D914" s="103"/>
      <c r="E914" s="103"/>
      <c r="F914" s="103"/>
      <c r="G914" s="103"/>
      <c r="H914" s="41" t="s">
        <v>55</v>
      </c>
      <c r="I914" s="42">
        <v>0.1053</v>
      </c>
      <c r="J914" s="43">
        <v>1</v>
      </c>
      <c r="K914" s="44">
        <v>0.1053</v>
      </c>
      <c r="L914" s="45"/>
      <c r="M914" s="42"/>
      <c r="N914" s="45"/>
      <c r="O914" s="42"/>
      <c r="P914" s="50"/>
      <c r="Q914" s="82"/>
      <c r="R914" s="82"/>
      <c r="S914" s="82"/>
      <c r="T914" s="82"/>
      <c r="U914" s="153"/>
      <c r="V914" s="82"/>
      <c r="W914" s="151"/>
      <c r="X914" s="82"/>
      <c r="Y914" s="82"/>
      <c r="Z914" s="82"/>
      <c r="AA914" s="82"/>
      <c r="AB914" s="145"/>
      <c r="AC914" s="145"/>
      <c r="AD914" s="145"/>
      <c r="AE914" s="145"/>
      <c r="AF914" s="145"/>
      <c r="AG914" s="145"/>
      <c r="AH914" s="145"/>
      <c r="AI914" s="145"/>
      <c r="AJ914" s="145"/>
      <c r="AK914" s="145"/>
      <c r="AL914" s="145"/>
      <c r="AM914" s="145"/>
      <c r="AN914" s="145"/>
      <c r="AO914" s="145"/>
      <c r="AP914" s="145"/>
      <c r="AQ914" s="145"/>
      <c r="AR914" s="145"/>
      <c r="AS914" s="145"/>
      <c r="AT914" s="145"/>
      <c r="AU914" s="145"/>
      <c r="AV914" s="146"/>
      <c r="AW914" s="146"/>
      <c r="AX914" s="146"/>
      <c r="AY914" s="146"/>
      <c r="AZ914" s="145"/>
      <c r="BA914" s="146"/>
      <c r="BB914" s="145"/>
      <c r="BC914" s="145"/>
      <c r="BD914" s="145"/>
      <c r="BE914" s="145"/>
      <c r="BF914" s="145"/>
      <c r="BG914" s="145"/>
      <c r="BH914" s="145"/>
      <c r="BI914" s="145"/>
      <c r="BJ914" s="145"/>
      <c r="BK914" s="145"/>
    </row>
    <row r="915" spans="1:63" s="147" customFormat="1" ht="15" x14ac:dyDescent="0.25">
      <c r="A915" s="47"/>
      <c r="B915" s="48"/>
      <c r="C915" s="102" t="s">
        <v>56</v>
      </c>
      <c r="D915" s="102"/>
      <c r="E915" s="102"/>
      <c r="F915" s="102"/>
      <c r="G915" s="102"/>
      <c r="H915" s="41"/>
      <c r="I915" s="42"/>
      <c r="J915" s="42"/>
      <c r="K915" s="42"/>
      <c r="L915" s="45"/>
      <c r="M915" s="42"/>
      <c r="N915" s="49"/>
      <c r="O915" s="42"/>
      <c r="P915" s="50">
        <v>20427.219999999998</v>
      </c>
      <c r="Q915" s="157"/>
      <c r="R915" s="157"/>
      <c r="S915" s="82"/>
      <c r="T915" s="82"/>
      <c r="U915" s="156"/>
      <c r="V915" s="82"/>
      <c r="W915" s="166"/>
      <c r="X915" s="82"/>
      <c r="Y915" s="82"/>
      <c r="Z915" s="82"/>
      <c r="AA915" s="82"/>
      <c r="AB915" s="145"/>
      <c r="AC915" s="145"/>
      <c r="AD915" s="145"/>
      <c r="AE915" s="145"/>
      <c r="AF915" s="145"/>
      <c r="AG915" s="145"/>
      <c r="AH915" s="145"/>
      <c r="AI915" s="145"/>
      <c r="AJ915" s="145"/>
      <c r="AK915" s="145"/>
      <c r="AL915" s="145"/>
      <c r="AM915" s="145"/>
      <c r="AN915" s="145"/>
      <c r="AO915" s="145"/>
      <c r="AP915" s="145"/>
      <c r="AQ915" s="145"/>
      <c r="AR915" s="145"/>
      <c r="AS915" s="145"/>
      <c r="AT915" s="145"/>
      <c r="AU915" s="145"/>
      <c r="AV915" s="146"/>
      <c r="AW915" s="146"/>
      <c r="AX915" s="146"/>
      <c r="AY915" s="146"/>
      <c r="AZ915" s="145"/>
      <c r="BA915" s="146"/>
      <c r="BB915" s="145"/>
      <c r="BC915" s="145"/>
      <c r="BD915" s="145"/>
      <c r="BE915" s="145"/>
      <c r="BF915" s="145"/>
      <c r="BG915" s="145"/>
      <c r="BH915" s="145"/>
      <c r="BI915" s="145"/>
      <c r="BJ915" s="145"/>
      <c r="BK915" s="145"/>
    </row>
    <row r="916" spans="1:63" s="147" customFormat="1" ht="15" x14ac:dyDescent="0.25">
      <c r="A916" s="52"/>
      <c r="B916" s="53"/>
      <c r="C916" s="104" t="s">
        <v>57</v>
      </c>
      <c r="D916" s="104"/>
      <c r="E916" s="104"/>
      <c r="F916" s="104"/>
      <c r="G916" s="104"/>
      <c r="H916" s="54"/>
      <c r="I916" s="55"/>
      <c r="J916" s="55"/>
      <c r="K916" s="55"/>
      <c r="L916" s="56"/>
      <c r="M916" s="55"/>
      <c r="N916" s="56"/>
      <c r="O916" s="55"/>
      <c r="P916" s="77">
        <v>20289.035999999996</v>
      </c>
      <c r="Q916" s="82"/>
      <c r="R916" s="82"/>
      <c r="S916" s="82"/>
      <c r="T916" s="82"/>
      <c r="U916" s="163"/>
      <c r="V916" s="82"/>
      <c r="W916" s="151"/>
      <c r="X916" s="82"/>
      <c r="Y916" s="82"/>
      <c r="Z916" s="82"/>
      <c r="AA916" s="82"/>
      <c r="AB916" s="145"/>
      <c r="AC916" s="145"/>
      <c r="AD916" s="145"/>
      <c r="AE916" s="145"/>
      <c r="AF916" s="145"/>
      <c r="AG916" s="145"/>
      <c r="AH916" s="145"/>
      <c r="AI916" s="145"/>
      <c r="AJ916" s="145"/>
      <c r="AK916" s="145"/>
      <c r="AL916" s="145"/>
      <c r="AM916" s="145"/>
      <c r="AN916" s="145"/>
      <c r="AO916" s="145"/>
      <c r="AP916" s="145"/>
      <c r="AQ916" s="145"/>
      <c r="AR916" s="145"/>
      <c r="AS916" s="145"/>
      <c r="AT916" s="145"/>
      <c r="AU916" s="145"/>
      <c r="AV916" s="146"/>
      <c r="AW916" s="146"/>
      <c r="AX916" s="146"/>
      <c r="AY916" s="146"/>
      <c r="AZ916" s="145"/>
      <c r="BA916" s="146"/>
      <c r="BB916" s="145"/>
      <c r="BC916" s="145"/>
      <c r="BD916" s="145"/>
      <c r="BE916" s="145"/>
      <c r="BF916" s="145"/>
      <c r="BG916" s="145"/>
      <c r="BH916" s="145"/>
      <c r="BI916" s="145"/>
      <c r="BJ916" s="145"/>
      <c r="BK916" s="145"/>
    </row>
    <row r="917" spans="1:63" s="147" customFormat="1" ht="15" x14ac:dyDescent="0.25">
      <c r="A917" s="52"/>
      <c r="B917" s="53" t="s">
        <v>187</v>
      </c>
      <c r="C917" s="104" t="s">
        <v>188</v>
      </c>
      <c r="D917" s="104"/>
      <c r="E917" s="104"/>
      <c r="F917" s="104"/>
      <c r="G917" s="104"/>
      <c r="H917" s="54" t="s">
        <v>60</v>
      </c>
      <c r="I917" s="58">
        <v>112</v>
      </c>
      <c r="J917" s="55"/>
      <c r="K917" s="58">
        <v>112</v>
      </c>
      <c r="L917" s="56"/>
      <c r="M917" s="55"/>
      <c r="N917" s="56"/>
      <c r="O917" s="55"/>
      <c r="P917" s="77">
        <v>22723.723999999995</v>
      </c>
      <c r="Q917" s="82"/>
      <c r="R917" s="82"/>
      <c r="S917" s="82"/>
      <c r="T917" s="82"/>
      <c r="U917" s="163"/>
      <c r="V917" s="82"/>
      <c r="W917" s="160"/>
      <c r="X917" s="82"/>
      <c r="Y917" s="82"/>
      <c r="Z917" s="82"/>
      <c r="AA917" s="82"/>
      <c r="AB917" s="145"/>
      <c r="AC917" s="145"/>
      <c r="AD917" s="145"/>
      <c r="AE917" s="145"/>
      <c r="AF917" s="145"/>
      <c r="AG917" s="145"/>
      <c r="AH917" s="145"/>
      <c r="AI917" s="145"/>
      <c r="AJ917" s="145"/>
      <c r="AK917" s="145"/>
      <c r="AL917" s="145"/>
      <c r="AM917" s="145"/>
      <c r="AN917" s="145"/>
      <c r="AO917" s="145"/>
      <c r="AP917" s="145"/>
      <c r="AQ917" s="145"/>
      <c r="AR917" s="145"/>
      <c r="AS917" s="145"/>
      <c r="AT917" s="145"/>
      <c r="AU917" s="145"/>
      <c r="AV917" s="146"/>
      <c r="AW917" s="146"/>
      <c r="AX917" s="146"/>
      <c r="AY917" s="146"/>
      <c r="AZ917" s="145"/>
      <c r="BA917" s="146"/>
      <c r="BB917" s="145"/>
      <c r="BC917" s="145"/>
      <c r="BD917" s="145"/>
      <c r="BE917" s="145"/>
      <c r="BF917" s="145"/>
      <c r="BG917" s="145"/>
      <c r="BH917" s="145"/>
      <c r="BI917" s="145"/>
      <c r="BJ917" s="145"/>
      <c r="BK917" s="145"/>
    </row>
    <row r="918" spans="1:63" s="147" customFormat="1" ht="15" x14ac:dyDescent="0.25">
      <c r="A918" s="52"/>
      <c r="B918" s="53" t="s">
        <v>189</v>
      </c>
      <c r="C918" s="104" t="s">
        <v>190</v>
      </c>
      <c r="D918" s="104"/>
      <c r="E918" s="104"/>
      <c r="F918" s="104"/>
      <c r="G918" s="104"/>
      <c r="H918" s="54" t="s">
        <v>60</v>
      </c>
      <c r="I918" s="58">
        <v>65</v>
      </c>
      <c r="J918" s="55"/>
      <c r="K918" s="58">
        <v>65</v>
      </c>
      <c r="L918" s="56"/>
      <c r="M918" s="55"/>
      <c r="N918" s="56"/>
      <c r="O918" s="55"/>
      <c r="P918" s="77">
        <v>13187.877999999999</v>
      </c>
      <c r="Q918" s="82"/>
      <c r="R918" s="82"/>
      <c r="S918" s="82"/>
      <c r="T918" s="82"/>
      <c r="U918" s="163"/>
      <c r="V918" s="82"/>
      <c r="W918" s="164"/>
      <c r="X918" s="82"/>
      <c r="Y918" s="82"/>
      <c r="Z918" s="82"/>
      <c r="AA918" s="82"/>
      <c r="AB918" s="145"/>
      <c r="AC918" s="145"/>
      <c r="AD918" s="145"/>
      <c r="AE918" s="145"/>
      <c r="AF918" s="145"/>
      <c r="AG918" s="145"/>
      <c r="AH918" s="145"/>
      <c r="AI918" s="145"/>
      <c r="AJ918" s="145"/>
      <c r="AK918" s="145"/>
      <c r="AL918" s="145"/>
      <c r="AM918" s="145"/>
      <c r="AN918" s="145"/>
      <c r="AO918" s="145"/>
      <c r="AP918" s="145"/>
      <c r="AQ918" s="145"/>
      <c r="AR918" s="145"/>
      <c r="AS918" s="145"/>
      <c r="AT918" s="145"/>
      <c r="AU918" s="145"/>
      <c r="AV918" s="146"/>
      <c r="AW918" s="146"/>
      <c r="AX918" s="146"/>
      <c r="AY918" s="146"/>
      <c r="AZ918" s="145"/>
      <c r="BA918" s="146"/>
      <c r="BB918" s="145"/>
      <c r="BC918" s="145"/>
      <c r="BD918" s="145"/>
      <c r="BE918" s="145"/>
      <c r="BF918" s="145"/>
      <c r="BG918" s="145"/>
      <c r="BH918" s="145"/>
      <c r="BI918" s="145"/>
      <c r="BJ918" s="145"/>
      <c r="BK918" s="145"/>
    </row>
    <row r="919" spans="1:63" s="147" customFormat="1" ht="15" x14ac:dyDescent="0.25">
      <c r="A919" s="59"/>
      <c r="B919" s="98"/>
      <c r="C919" s="102" t="s">
        <v>63</v>
      </c>
      <c r="D919" s="102"/>
      <c r="E919" s="102"/>
      <c r="F919" s="102"/>
      <c r="G919" s="102"/>
      <c r="H919" s="41"/>
      <c r="I919" s="42"/>
      <c r="J919" s="42"/>
      <c r="K919" s="42"/>
      <c r="L919" s="45"/>
      <c r="M919" s="42"/>
      <c r="N919" s="49">
        <v>326601.87</v>
      </c>
      <c r="O919" s="42"/>
      <c r="P919" s="50">
        <v>56338.821999999993</v>
      </c>
      <c r="Q919" s="82"/>
      <c r="R919" s="82"/>
      <c r="S919" s="82"/>
      <c r="T919" s="82"/>
      <c r="U919" s="156"/>
      <c r="V919" s="82"/>
      <c r="W919" s="164"/>
      <c r="X919" s="82"/>
      <c r="Y919" s="82"/>
      <c r="Z919" s="82"/>
      <c r="AA919" s="82"/>
      <c r="AB919" s="145"/>
      <c r="AC919" s="145"/>
      <c r="AD919" s="145"/>
      <c r="AE919" s="145"/>
      <c r="AF919" s="145"/>
      <c r="AG919" s="145"/>
      <c r="AH919" s="145"/>
      <c r="AI919" s="145"/>
      <c r="AJ919" s="145"/>
      <c r="AK919" s="145"/>
      <c r="AL919" s="145"/>
      <c r="AM919" s="145"/>
      <c r="AN919" s="145"/>
      <c r="AO919" s="145"/>
      <c r="AP919" s="145"/>
      <c r="AQ919" s="145"/>
      <c r="AR919" s="145"/>
      <c r="AS919" s="145"/>
      <c r="AT919" s="145"/>
      <c r="AU919" s="145"/>
      <c r="AV919" s="146"/>
      <c r="AW919" s="146"/>
      <c r="AX919" s="146"/>
      <c r="AY919" s="146"/>
      <c r="AZ919" s="145"/>
      <c r="BA919" s="146"/>
      <c r="BB919" s="145"/>
      <c r="BC919" s="145"/>
      <c r="BD919" s="145"/>
      <c r="BE919" s="145"/>
      <c r="BF919" s="145"/>
      <c r="BG919" s="145"/>
      <c r="BH919" s="145"/>
      <c r="BI919" s="145"/>
      <c r="BJ919" s="145"/>
      <c r="BK919" s="145"/>
    </row>
    <row r="920" spans="1:63" s="147" customFormat="1" ht="15" x14ac:dyDescent="0.25">
      <c r="A920" s="39" t="s">
        <v>741</v>
      </c>
      <c r="B920" s="97" t="s">
        <v>202</v>
      </c>
      <c r="C920" s="103" t="s">
        <v>203</v>
      </c>
      <c r="D920" s="103"/>
      <c r="E920" s="103"/>
      <c r="F920" s="103"/>
      <c r="G920" s="103"/>
      <c r="H920" s="41" t="s">
        <v>67</v>
      </c>
      <c r="I920" s="42">
        <v>3</v>
      </c>
      <c r="J920" s="43">
        <v>1</v>
      </c>
      <c r="K920" s="43">
        <v>3</v>
      </c>
      <c r="L920" s="49">
        <v>1284.05</v>
      </c>
      <c r="M920" s="67">
        <v>1.2</v>
      </c>
      <c r="N920" s="49">
        <v>1540.86</v>
      </c>
      <c r="O920" s="42"/>
      <c r="P920" s="50">
        <v>5315.9669999999996</v>
      </c>
      <c r="Q920" s="82"/>
      <c r="R920" s="82"/>
      <c r="S920" s="82"/>
      <c r="T920" s="82"/>
      <c r="U920" s="156"/>
      <c r="V920" s="82"/>
      <c r="W920" s="151"/>
      <c r="X920" s="82"/>
      <c r="Y920" s="82"/>
      <c r="Z920" s="82"/>
      <c r="AA920" s="82"/>
      <c r="AB920" s="145"/>
      <c r="AC920" s="145"/>
      <c r="AD920" s="145"/>
      <c r="AE920" s="145"/>
      <c r="AF920" s="145"/>
      <c r="AG920" s="145"/>
      <c r="AH920" s="145"/>
      <c r="AI920" s="145"/>
      <c r="AJ920" s="145"/>
      <c r="AK920" s="145"/>
      <c r="AL920" s="145"/>
      <c r="AM920" s="145"/>
      <c r="AN920" s="145"/>
      <c r="AO920" s="145"/>
      <c r="AP920" s="145"/>
      <c r="AQ920" s="145"/>
      <c r="AR920" s="145"/>
      <c r="AS920" s="145"/>
      <c r="AT920" s="145"/>
      <c r="AU920" s="145"/>
      <c r="AV920" s="146"/>
      <c r="AW920" s="146"/>
      <c r="AX920" s="146"/>
      <c r="AY920" s="146"/>
      <c r="AZ920" s="145"/>
      <c r="BA920" s="146"/>
      <c r="BB920" s="145"/>
      <c r="BC920" s="145"/>
      <c r="BD920" s="145"/>
      <c r="BE920" s="145"/>
      <c r="BF920" s="145"/>
      <c r="BG920" s="145"/>
      <c r="BH920" s="145"/>
      <c r="BI920" s="145"/>
      <c r="BJ920" s="145"/>
      <c r="BK920" s="145"/>
    </row>
    <row r="921" spans="1:63" s="147" customFormat="1" ht="15" x14ac:dyDescent="0.25">
      <c r="A921" s="59"/>
      <c r="B921" s="98"/>
      <c r="C921" s="102" t="s">
        <v>63</v>
      </c>
      <c r="D921" s="102"/>
      <c r="E921" s="102"/>
      <c r="F921" s="102"/>
      <c r="G921" s="102"/>
      <c r="H921" s="41"/>
      <c r="I921" s="42"/>
      <c r="J921" s="42"/>
      <c r="K921" s="42"/>
      <c r="L921" s="45"/>
      <c r="M921" s="42"/>
      <c r="N921" s="45"/>
      <c r="O921" s="42"/>
      <c r="P921" s="50">
        <v>5315.9669999999996</v>
      </c>
      <c r="Q921" s="82"/>
      <c r="R921" s="82"/>
      <c r="S921" s="82"/>
      <c r="T921" s="82"/>
      <c r="U921" s="156"/>
      <c r="V921" s="82"/>
      <c r="W921" s="152"/>
      <c r="X921" s="82"/>
      <c r="Y921" s="82"/>
      <c r="Z921" s="82"/>
      <c r="AA921" s="82"/>
      <c r="AB921" s="145"/>
      <c r="AC921" s="145"/>
      <c r="AD921" s="145"/>
      <c r="AE921" s="145"/>
      <c r="AF921" s="145"/>
      <c r="AG921" s="145"/>
      <c r="AH921" s="145"/>
      <c r="AI921" s="145"/>
      <c r="AJ921" s="145"/>
      <c r="AK921" s="145"/>
      <c r="AL921" s="145"/>
      <c r="AM921" s="145"/>
      <c r="AN921" s="145"/>
      <c r="AO921" s="145"/>
      <c r="AP921" s="145"/>
      <c r="AQ921" s="145"/>
      <c r="AR921" s="145"/>
      <c r="AS921" s="145"/>
      <c r="AT921" s="145"/>
      <c r="AU921" s="145"/>
      <c r="AV921" s="146"/>
      <c r="AW921" s="146"/>
      <c r="AX921" s="146"/>
      <c r="AY921" s="146"/>
      <c r="AZ921" s="145"/>
      <c r="BA921" s="146"/>
      <c r="BB921" s="145"/>
      <c r="BC921" s="145"/>
      <c r="BD921" s="145"/>
      <c r="BE921" s="145"/>
      <c r="BF921" s="145"/>
      <c r="BG921" s="145"/>
      <c r="BH921" s="145"/>
      <c r="BI921" s="145"/>
      <c r="BJ921" s="145"/>
      <c r="BK921" s="145"/>
    </row>
    <row r="922" spans="1:63" s="147" customFormat="1" ht="15" x14ac:dyDescent="0.25">
      <c r="A922" s="39" t="s">
        <v>742</v>
      </c>
      <c r="B922" s="97" t="s">
        <v>205</v>
      </c>
      <c r="C922" s="103" t="s">
        <v>206</v>
      </c>
      <c r="D922" s="103"/>
      <c r="E922" s="103"/>
      <c r="F922" s="103"/>
      <c r="G922" s="103"/>
      <c r="H922" s="41" t="s">
        <v>71</v>
      </c>
      <c r="I922" s="42">
        <v>0.18</v>
      </c>
      <c r="J922" s="43">
        <v>1</v>
      </c>
      <c r="K922" s="62">
        <v>0.18</v>
      </c>
      <c r="L922" s="49">
        <v>36038.35</v>
      </c>
      <c r="M922" s="62">
        <v>1.1399999999999999</v>
      </c>
      <c r="N922" s="49">
        <v>41083.72</v>
      </c>
      <c r="O922" s="42"/>
      <c r="P922" s="50">
        <v>8504.3304999999982</v>
      </c>
      <c r="Q922" s="82"/>
      <c r="R922" s="82"/>
      <c r="S922" s="82"/>
      <c r="T922" s="82"/>
      <c r="U922" s="156"/>
      <c r="V922" s="82"/>
      <c r="W922" s="151"/>
      <c r="X922" s="82"/>
      <c r="Y922" s="82"/>
      <c r="Z922" s="82"/>
      <c r="AA922" s="82"/>
      <c r="AB922" s="145"/>
      <c r="AC922" s="145"/>
      <c r="AD922" s="145"/>
      <c r="AE922" s="145"/>
      <c r="AF922" s="145"/>
      <c r="AG922" s="145"/>
      <c r="AH922" s="145"/>
      <c r="AI922" s="145"/>
      <c r="AJ922" s="145"/>
      <c r="AK922" s="145"/>
      <c r="AL922" s="145"/>
      <c r="AM922" s="145"/>
      <c r="AN922" s="145"/>
      <c r="AO922" s="145"/>
      <c r="AP922" s="145"/>
      <c r="AQ922" s="145"/>
      <c r="AR922" s="145"/>
      <c r="AS922" s="145"/>
      <c r="AT922" s="145"/>
      <c r="AU922" s="145"/>
      <c r="AV922" s="146"/>
      <c r="AW922" s="146"/>
      <c r="AX922" s="146"/>
      <c r="AY922" s="146"/>
      <c r="AZ922" s="145"/>
      <c r="BA922" s="146"/>
      <c r="BB922" s="145"/>
      <c r="BC922" s="145"/>
      <c r="BD922" s="145"/>
      <c r="BE922" s="145"/>
      <c r="BF922" s="145"/>
      <c r="BG922" s="145"/>
      <c r="BH922" s="145"/>
      <c r="BI922" s="145"/>
      <c r="BJ922" s="145"/>
      <c r="BK922" s="145"/>
    </row>
    <row r="923" spans="1:63" s="147" customFormat="1" ht="15" x14ac:dyDescent="0.25">
      <c r="A923" s="59"/>
      <c r="B923" s="98"/>
      <c r="C923" s="102" t="s">
        <v>63</v>
      </c>
      <c r="D923" s="102"/>
      <c r="E923" s="102"/>
      <c r="F923" s="102"/>
      <c r="G923" s="102"/>
      <c r="H923" s="41"/>
      <c r="I923" s="42"/>
      <c r="J923" s="42"/>
      <c r="K923" s="42"/>
      <c r="L923" s="45"/>
      <c r="M923" s="42"/>
      <c r="N923" s="45"/>
      <c r="O923" s="42"/>
      <c r="P923" s="50">
        <v>8504.3304999999982</v>
      </c>
      <c r="Q923" s="82"/>
      <c r="R923" s="82"/>
      <c r="S923" s="82"/>
      <c r="T923" s="82"/>
      <c r="U923" s="156"/>
      <c r="V923" s="82"/>
      <c r="W923" s="168"/>
      <c r="X923" s="82"/>
      <c r="Y923" s="82"/>
      <c r="Z923" s="82"/>
      <c r="AA923" s="82"/>
      <c r="AB923" s="145"/>
      <c r="AC923" s="145"/>
      <c r="AD923" s="145"/>
      <c r="AE923" s="145"/>
      <c r="AF923" s="145"/>
      <c r="AG923" s="145"/>
      <c r="AH923" s="145"/>
      <c r="AI923" s="145"/>
      <c r="AJ923" s="145"/>
      <c r="AK923" s="145"/>
      <c r="AL923" s="145"/>
      <c r="AM923" s="145"/>
      <c r="AN923" s="145"/>
      <c r="AO923" s="145"/>
      <c r="AP923" s="145"/>
      <c r="AQ923" s="145"/>
      <c r="AR923" s="145"/>
      <c r="AS923" s="145"/>
      <c r="AT923" s="145"/>
      <c r="AU923" s="145"/>
      <c r="AV923" s="146"/>
      <c r="AW923" s="146"/>
      <c r="AX923" s="146"/>
      <c r="AY923" s="146"/>
      <c r="AZ923" s="145"/>
      <c r="BA923" s="146"/>
      <c r="BB923" s="145"/>
      <c r="BC923" s="145"/>
      <c r="BD923" s="145"/>
      <c r="BE923" s="145"/>
      <c r="BF923" s="145"/>
      <c r="BG923" s="145"/>
      <c r="BH923" s="145"/>
      <c r="BI923" s="145"/>
      <c r="BJ923" s="145"/>
      <c r="BK923" s="145"/>
    </row>
    <row r="924" spans="1:63" s="147" customFormat="1" ht="40.5" customHeight="1" x14ac:dyDescent="0.25">
      <c r="A924" s="39" t="s">
        <v>743</v>
      </c>
      <c r="B924" s="97" t="s">
        <v>208</v>
      </c>
      <c r="C924" s="103" t="s">
        <v>305</v>
      </c>
      <c r="D924" s="103"/>
      <c r="E924" s="103"/>
      <c r="F924" s="103"/>
      <c r="G924" s="103"/>
      <c r="H924" s="41" t="s">
        <v>105</v>
      </c>
      <c r="I924" s="42">
        <v>11.05</v>
      </c>
      <c r="J924" s="43">
        <v>1</v>
      </c>
      <c r="K924" s="67">
        <v>11.05</v>
      </c>
      <c r="L924" s="61">
        <v>603.37</v>
      </c>
      <c r="M924" s="62">
        <v>1.25</v>
      </c>
      <c r="N924" s="61">
        <v>754.21</v>
      </c>
      <c r="O924" s="42"/>
      <c r="P924" s="50">
        <v>13270.321499999998</v>
      </c>
      <c r="Q924" s="82"/>
      <c r="R924" s="82"/>
      <c r="S924" s="82"/>
      <c r="T924" s="82"/>
      <c r="U924" s="156"/>
      <c r="V924" s="82"/>
      <c r="W924" s="151"/>
      <c r="X924" s="82"/>
      <c r="Y924" s="82"/>
      <c r="Z924" s="82"/>
      <c r="AA924" s="82"/>
      <c r="AB924" s="145"/>
      <c r="AC924" s="145"/>
      <c r="AD924" s="145"/>
      <c r="AE924" s="145"/>
      <c r="AF924" s="145"/>
      <c r="AG924" s="145"/>
      <c r="AH924" s="145"/>
      <c r="AI924" s="145"/>
      <c r="AJ924" s="145"/>
      <c r="AK924" s="145"/>
      <c r="AL924" s="145"/>
      <c r="AM924" s="145"/>
      <c r="AN924" s="145"/>
      <c r="AO924" s="145"/>
      <c r="AP924" s="145"/>
      <c r="AQ924" s="145"/>
      <c r="AR924" s="145"/>
      <c r="AS924" s="145"/>
      <c r="AT924" s="145"/>
      <c r="AU924" s="145"/>
      <c r="AV924" s="146"/>
      <c r="AW924" s="146"/>
      <c r="AX924" s="146"/>
      <c r="AY924" s="146"/>
      <c r="AZ924" s="145"/>
      <c r="BA924" s="146"/>
      <c r="BB924" s="145"/>
      <c r="BC924" s="145"/>
      <c r="BD924" s="145"/>
      <c r="BE924" s="145"/>
      <c r="BF924" s="145"/>
      <c r="BG924" s="145"/>
      <c r="BH924" s="145"/>
      <c r="BI924" s="145"/>
      <c r="BJ924" s="145"/>
      <c r="BK924" s="145"/>
    </row>
    <row r="925" spans="1:63" s="147" customFormat="1" ht="15" x14ac:dyDescent="0.25">
      <c r="A925" s="59"/>
      <c r="B925" s="98"/>
      <c r="C925" s="102" t="s">
        <v>63</v>
      </c>
      <c r="D925" s="102"/>
      <c r="E925" s="102"/>
      <c r="F925" s="102"/>
      <c r="G925" s="102"/>
      <c r="H925" s="41"/>
      <c r="I925" s="42"/>
      <c r="J925" s="42"/>
      <c r="K925" s="42"/>
      <c r="L925" s="45"/>
      <c r="M925" s="42"/>
      <c r="N925" s="45"/>
      <c r="O925" s="42"/>
      <c r="P925" s="50">
        <v>13270.321499999998</v>
      </c>
      <c r="Q925" s="82"/>
      <c r="R925" s="82"/>
      <c r="S925" s="82"/>
      <c r="T925" s="82"/>
      <c r="U925" s="156"/>
      <c r="V925" s="82"/>
      <c r="W925" s="175"/>
      <c r="X925" s="82"/>
      <c r="Y925" s="82"/>
      <c r="Z925" s="82"/>
      <c r="AA925" s="82"/>
      <c r="AB925" s="145"/>
      <c r="AC925" s="145"/>
      <c r="AD925" s="145"/>
      <c r="AE925" s="145"/>
      <c r="AF925" s="145"/>
      <c r="AG925" s="145"/>
      <c r="AH925" s="145"/>
      <c r="AI925" s="145"/>
      <c r="AJ925" s="145"/>
      <c r="AK925" s="145"/>
      <c r="AL925" s="145"/>
      <c r="AM925" s="145"/>
      <c r="AN925" s="145"/>
      <c r="AO925" s="145"/>
      <c r="AP925" s="145"/>
      <c r="AQ925" s="145"/>
      <c r="AR925" s="145"/>
      <c r="AS925" s="145"/>
      <c r="AT925" s="145"/>
      <c r="AU925" s="145"/>
      <c r="AV925" s="146"/>
      <c r="AW925" s="146"/>
      <c r="AX925" s="146"/>
      <c r="AY925" s="146"/>
      <c r="AZ925" s="145"/>
      <c r="BA925" s="146"/>
      <c r="BB925" s="145"/>
      <c r="BC925" s="145"/>
      <c r="BD925" s="145"/>
      <c r="BE925" s="145"/>
      <c r="BF925" s="145"/>
      <c r="BG925" s="145"/>
      <c r="BH925" s="145"/>
      <c r="BI925" s="145"/>
      <c r="BJ925" s="145"/>
      <c r="BK925" s="145"/>
    </row>
    <row r="926" spans="1:63" s="147" customFormat="1" ht="15" x14ac:dyDescent="0.25">
      <c r="A926" s="107" t="s">
        <v>210</v>
      </c>
      <c r="B926" s="108"/>
      <c r="C926" s="108"/>
      <c r="D926" s="108"/>
      <c r="E926" s="108"/>
      <c r="F926" s="108"/>
      <c r="G926" s="108"/>
      <c r="H926" s="108"/>
      <c r="I926" s="108"/>
      <c r="J926" s="108"/>
      <c r="K926" s="108"/>
      <c r="L926" s="108"/>
      <c r="M926" s="108"/>
      <c r="N926" s="108"/>
      <c r="O926" s="108"/>
      <c r="P926" s="109"/>
      <c r="Q926" s="82"/>
      <c r="R926" s="82"/>
      <c r="S926" s="82"/>
      <c r="T926" s="82"/>
      <c r="U926" s="82"/>
      <c r="V926" s="82"/>
      <c r="W926" s="151"/>
      <c r="X926" s="82"/>
      <c r="Y926" s="82"/>
      <c r="Z926" s="82"/>
      <c r="AA926" s="82"/>
      <c r="AB926" s="145"/>
      <c r="AC926" s="145"/>
      <c r="AD926" s="145"/>
      <c r="AE926" s="145"/>
      <c r="AF926" s="145"/>
      <c r="AG926" s="145"/>
      <c r="AH926" s="145"/>
      <c r="AI926" s="145"/>
      <c r="AJ926" s="145"/>
      <c r="AK926" s="145"/>
      <c r="AL926" s="145"/>
      <c r="AM926" s="145"/>
      <c r="AN926" s="145"/>
      <c r="AO926" s="145"/>
      <c r="AP926" s="145"/>
      <c r="AQ926" s="145"/>
      <c r="AR926" s="145"/>
      <c r="AS926" s="145"/>
      <c r="AT926" s="145"/>
      <c r="AU926" s="145"/>
      <c r="AV926" s="146"/>
      <c r="AW926" s="146"/>
      <c r="AX926" s="146"/>
      <c r="AY926" s="146"/>
      <c r="AZ926" s="145"/>
      <c r="BA926" s="146"/>
      <c r="BB926" s="145"/>
      <c r="BC926" s="145"/>
      <c r="BD926" s="145"/>
      <c r="BE926" s="145"/>
      <c r="BF926" s="145"/>
      <c r="BG926" s="145"/>
      <c r="BH926" s="145"/>
      <c r="BI926" s="145"/>
      <c r="BJ926" s="145"/>
      <c r="BK926" s="145"/>
    </row>
    <row r="927" spans="1:63" s="147" customFormat="1" ht="15" x14ac:dyDescent="0.25">
      <c r="A927" s="39" t="s">
        <v>744</v>
      </c>
      <c r="B927" s="97" t="s">
        <v>212</v>
      </c>
      <c r="C927" s="103" t="s">
        <v>213</v>
      </c>
      <c r="D927" s="103"/>
      <c r="E927" s="103"/>
      <c r="F927" s="103"/>
      <c r="G927" s="103"/>
      <c r="H927" s="41" t="s">
        <v>214</v>
      </c>
      <c r="I927" s="42">
        <v>0.1</v>
      </c>
      <c r="J927" s="43">
        <v>1</v>
      </c>
      <c r="K927" s="67">
        <v>0.1</v>
      </c>
      <c r="L927" s="45"/>
      <c r="M927" s="42"/>
      <c r="N927" s="45"/>
      <c r="O927" s="42"/>
      <c r="P927" s="46"/>
      <c r="Q927" s="82"/>
      <c r="R927" s="82"/>
      <c r="S927" s="82"/>
      <c r="T927" s="82"/>
      <c r="U927" s="82"/>
      <c r="V927" s="82"/>
      <c r="W927" s="175"/>
      <c r="X927" s="82"/>
      <c r="Y927" s="82"/>
      <c r="Z927" s="82"/>
      <c r="AA927" s="82"/>
      <c r="AB927" s="145"/>
      <c r="AC927" s="145"/>
      <c r="AD927" s="145"/>
      <c r="AE927" s="145"/>
      <c r="AF927" s="145"/>
      <c r="AG927" s="145"/>
      <c r="AH927" s="145"/>
      <c r="AI927" s="145"/>
      <c r="AJ927" s="145"/>
      <c r="AK927" s="145"/>
      <c r="AL927" s="145"/>
      <c r="AM927" s="145"/>
      <c r="AN927" s="145"/>
      <c r="AO927" s="145"/>
      <c r="AP927" s="145"/>
      <c r="AQ927" s="145"/>
      <c r="AR927" s="145"/>
      <c r="AS927" s="145"/>
      <c r="AT927" s="145"/>
      <c r="AU927" s="145"/>
      <c r="AV927" s="146"/>
      <c r="AW927" s="146"/>
      <c r="AX927" s="146"/>
      <c r="AY927" s="146"/>
      <c r="AZ927" s="145"/>
      <c r="BA927" s="146"/>
      <c r="BB927" s="145"/>
      <c r="BC927" s="145"/>
      <c r="BD927" s="145"/>
      <c r="BE927" s="145"/>
      <c r="BF927" s="145"/>
      <c r="BG927" s="145"/>
      <c r="BH927" s="145"/>
      <c r="BI927" s="145"/>
      <c r="BJ927" s="145"/>
      <c r="BK927" s="145"/>
    </row>
    <row r="928" spans="1:63" s="147" customFormat="1" ht="15" x14ac:dyDescent="0.25">
      <c r="A928" s="47"/>
      <c r="B928" s="48"/>
      <c r="C928" s="102" t="s">
        <v>56</v>
      </c>
      <c r="D928" s="102"/>
      <c r="E928" s="102"/>
      <c r="F928" s="102"/>
      <c r="G928" s="102"/>
      <c r="H928" s="41"/>
      <c r="I928" s="42"/>
      <c r="J928" s="42"/>
      <c r="K928" s="42"/>
      <c r="L928" s="45"/>
      <c r="M928" s="42"/>
      <c r="N928" s="49"/>
      <c r="O928" s="42"/>
      <c r="P928" s="50">
        <v>442.25549999999998</v>
      </c>
      <c r="Q928" s="157"/>
      <c r="R928" s="157"/>
      <c r="S928" s="82"/>
      <c r="T928" s="82"/>
      <c r="U928" s="156"/>
      <c r="V928" s="82"/>
      <c r="W928" s="151"/>
      <c r="X928" s="82"/>
      <c r="Y928" s="82"/>
      <c r="Z928" s="82"/>
      <c r="AA928" s="82"/>
      <c r="AB928" s="145"/>
      <c r="AC928" s="145"/>
      <c r="AD928" s="145"/>
      <c r="AE928" s="145"/>
      <c r="AF928" s="145"/>
      <c r="AG928" s="145"/>
      <c r="AH928" s="145"/>
      <c r="AI928" s="145"/>
      <c r="AJ928" s="145"/>
      <c r="AK928" s="145"/>
      <c r="AL928" s="145"/>
      <c r="AM928" s="145"/>
      <c r="AN928" s="145"/>
      <c r="AO928" s="145"/>
      <c r="AP928" s="145"/>
      <c r="AQ928" s="145"/>
      <c r="AR928" s="145"/>
      <c r="AS928" s="145"/>
      <c r="AT928" s="145"/>
      <c r="AU928" s="145"/>
      <c r="AV928" s="146"/>
      <c r="AW928" s="146"/>
      <c r="AX928" s="146"/>
      <c r="AY928" s="146"/>
      <c r="AZ928" s="145"/>
      <c r="BA928" s="146"/>
      <c r="BB928" s="145"/>
      <c r="BC928" s="145"/>
      <c r="BD928" s="145"/>
      <c r="BE928" s="145"/>
      <c r="BF928" s="145"/>
      <c r="BG928" s="145"/>
      <c r="BH928" s="145"/>
      <c r="BI928" s="145"/>
      <c r="BJ928" s="145"/>
      <c r="BK928" s="145"/>
    </row>
    <row r="929" spans="1:63" s="147" customFormat="1" ht="15" x14ac:dyDescent="0.25">
      <c r="A929" s="52"/>
      <c r="B929" s="53"/>
      <c r="C929" s="104" t="s">
        <v>57</v>
      </c>
      <c r="D929" s="104"/>
      <c r="E929" s="104"/>
      <c r="F929" s="104"/>
      <c r="G929" s="104"/>
      <c r="H929" s="54"/>
      <c r="I929" s="55"/>
      <c r="J929" s="55"/>
      <c r="K929" s="55"/>
      <c r="L929" s="56"/>
      <c r="M929" s="55"/>
      <c r="N929" s="56"/>
      <c r="O929" s="55"/>
      <c r="P929" s="77">
        <v>389.29799999999994</v>
      </c>
      <c r="Q929" s="82"/>
      <c r="R929" s="82"/>
      <c r="S929" s="82"/>
      <c r="T929" s="82"/>
      <c r="U929" s="170"/>
      <c r="V929" s="82"/>
      <c r="W929" s="160"/>
      <c r="X929" s="82"/>
      <c r="Y929" s="82"/>
      <c r="Z929" s="82"/>
      <c r="AA929" s="82"/>
      <c r="AB929" s="145"/>
      <c r="AC929" s="145"/>
      <c r="AD929" s="145"/>
      <c r="AE929" s="145"/>
      <c r="AF929" s="145"/>
      <c r="AG929" s="145"/>
      <c r="AH929" s="145"/>
      <c r="AI929" s="145"/>
      <c r="AJ929" s="145"/>
      <c r="AK929" s="145"/>
      <c r="AL929" s="145"/>
      <c r="AM929" s="145"/>
      <c r="AN929" s="145"/>
      <c r="AO929" s="145"/>
      <c r="AP929" s="145"/>
      <c r="AQ929" s="145"/>
      <c r="AR929" s="145"/>
      <c r="AS929" s="145"/>
      <c r="AT929" s="145"/>
      <c r="AU929" s="145"/>
      <c r="AV929" s="146"/>
      <c r="AW929" s="146"/>
      <c r="AX929" s="146"/>
      <c r="AY929" s="146"/>
      <c r="AZ929" s="145"/>
      <c r="BA929" s="146"/>
      <c r="BB929" s="145"/>
      <c r="BC929" s="145"/>
      <c r="BD929" s="145"/>
      <c r="BE929" s="145"/>
      <c r="BF929" s="145"/>
      <c r="BG929" s="145"/>
      <c r="BH929" s="145"/>
      <c r="BI929" s="145"/>
      <c r="BJ929" s="145"/>
      <c r="BK929" s="145"/>
    </row>
    <row r="930" spans="1:63" s="147" customFormat="1" ht="15" x14ac:dyDescent="0.25">
      <c r="A930" s="52"/>
      <c r="B930" s="53" t="s">
        <v>215</v>
      </c>
      <c r="C930" s="104" t="s">
        <v>216</v>
      </c>
      <c r="D930" s="104"/>
      <c r="E930" s="104"/>
      <c r="F930" s="104"/>
      <c r="G930" s="104"/>
      <c r="H930" s="54" t="s">
        <v>60</v>
      </c>
      <c r="I930" s="58">
        <v>121</v>
      </c>
      <c r="J930" s="55"/>
      <c r="K930" s="58">
        <v>121</v>
      </c>
      <c r="L930" s="56"/>
      <c r="M930" s="55"/>
      <c r="N930" s="56"/>
      <c r="O930" s="55"/>
      <c r="P930" s="77">
        <v>471.05149999999998</v>
      </c>
      <c r="Q930" s="82"/>
      <c r="R930" s="82"/>
      <c r="S930" s="82"/>
      <c r="T930" s="82"/>
      <c r="U930" s="170"/>
      <c r="V930" s="82"/>
      <c r="W930" s="164"/>
      <c r="X930" s="82"/>
      <c r="Y930" s="82"/>
      <c r="Z930" s="82"/>
      <c r="AA930" s="82"/>
      <c r="AB930" s="145"/>
      <c r="AC930" s="145"/>
      <c r="AD930" s="145"/>
      <c r="AE930" s="145"/>
      <c r="AF930" s="145"/>
      <c r="AG930" s="145"/>
      <c r="AH930" s="145"/>
      <c r="AI930" s="145"/>
      <c r="AJ930" s="145"/>
      <c r="AK930" s="145"/>
      <c r="AL930" s="145"/>
      <c r="AM930" s="145"/>
      <c r="AN930" s="145"/>
      <c r="AO930" s="145"/>
      <c r="AP930" s="145"/>
      <c r="AQ930" s="145"/>
      <c r="AR930" s="145"/>
      <c r="AS930" s="145"/>
      <c r="AT930" s="145"/>
      <c r="AU930" s="145"/>
      <c r="AV930" s="146"/>
      <c r="AW930" s="146"/>
      <c r="AX930" s="146"/>
      <c r="AY930" s="146"/>
      <c r="AZ930" s="145"/>
      <c r="BA930" s="146"/>
      <c r="BB930" s="145"/>
      <c r="BC930" s="145"/>
      <c r="BD930" s="145"/>
      <c r="BE930" s="145"/>
      <c r="BF930" s="145"/>
      <c r="BG930" s="145"/>
      <c r="BH930" s="145"/>
      <c r="BI930" s="145"/>
      <c r="BJ930" s="145"/>
      <c r="BK930" s="145"/>
    </row>
    <row r="931" spans="1:63" s="147" customFormat="1" ht="15" x14ac:dyDescent="0.25">
      <c r="A931" s="52"/>
      <c r="B931" s="53" t="s">
        <v>217</v>
      </c>
      <c r="C931" s="104" t="s">
        <v>218</v>
      </c>
      <c r="D931" s="104"/>
      <c r="E931" s="104"/>
      <c r="F931" s="104"/>
      <c r="G931" s="104"/>
      <c r="H931" s="54" t="s">
        <v>60</v>
      </c>
      <c r="I931" s="58">
        <v>72</v>
      </c>
      <c r="J931" s="55"/>
      <c r="K931" s="58">
        <v>72</v>
      </c>
      <c r="L931" s="56"/>
      <c r="M931" s="55"/>
      <c r="N931" s="56"/>
      <c r="O931" s="55"/>
      <c r="P931" s="77">
        <v>280.28949999999998</v>
      </c>
      <c r="Q931" s="82"/>
      <c r="R931" s="82"/>
      <c r="S931" s="82"/>
      <c r="T931" s="82"/>
      <c r="U931" s="170"/>
      <c r="V931" s="82"/>
      <c r="W931" s="164"/>
      <c r="X931" s="82"/>
      <c r="Y931" s="82"/>
      <c r="Z931" s="82"/>
      <c r="AA931" s="82"/>
      <c r="AB931" s="145"/>
      <c r="AC931" s="145"/>
      <c r="AD931" s="145"/>
      <c r="AE931" s="145"/>
      <c r="AF931" s="145"/>
      <c r="AG931" s="145"/>
      <c r="AH931" s="145"/>
      <c r="AI931" s="145"/>
      <c r="AJ931" s="145"/>
      <c r="AK931" s="145"/>
      <c r="AL931" s="145"/>
      <c r="AM931" s="145"/>
      <c r="AN931" s="145"/>
      <c r="AO931" s="145"/>
      <c r="AP931" s="145"/>
      <c r="AQ931" s="145"/>
      <c r="AR931" s="145"/>
      <c r="AS931" s="145"/>
      <c r="AT931" s="145"/>
      <c r="AU931" s="145"/>
      <c r="AV931" s="146"/>
      <c r="AW931" s="146"/>
      <c r="AX931" s="146"/>
      <c r="AY931" s="146"/>
      <c r="AZ931" s="145"/>
      <c r="BA931" s="146"/>
      <c r="BB931" s="145"/>
      <c r="BC931" s="145"/>
      <c r="BD931" s="145"/>
      <c r="BE931" s="145"/>
      <c r="BF931" s="145"/>
      <c r="BG931" s="145"/>
      <c r="BH931" s="145"/>
      <c r="BI931" s="145"/>
      <c r="BJ931" s="145"/>
      <c r="BK931" s="145"/>
    </row>
    <row r="932" spans="1:63" s="147" customFormat="1" ht="15" x14ac:dyDescent="0.25">
      <c r="A932" s="59"/>
      <c r="B932" s="98"/>
      <c r="C932" s="102" t="s">
        <v>63</v>
      </c>
      <c r="D932" s="102"/>
      <c r="E932" s="102"/>
      <c r="F932" s="102"/>
      <c r="G932" s="102"/>
      <c r="H932" s="41"/>
      <c r="I932" s="42"/>
      <c r="J932" s="42"/>
      <c r="K932" s="42"/>
      <c r="L932" s="45"/>
      <c r="M932" s="42"/>
      <c r="N932" s="49">
        <v>10379.1</v>
      </c>
      <c r="O932" s="42"/>
      <c r="P932" s="50">
        <v>1193.5965000000001</v>
      </c>
      <c r="Q932" s="82"/>
      <c r="R932" s="82"/>
      <c r="S932" s="82"/>
      <c r="T932" s="82"/>
      <c r="U932" s="156"/>
      <c r="V932" s="82"/>
      <c r="W932" s="151"/>
      <c r="X932" s="82"/>
      <c r="Y932" s="82"/>
      <c r="Z932" s="82"/>
      <c r="AA932" s="82"/>
      <c r="AB932" s="145"/>
      <c r="AC932" s="145"/>
      <c r="AD932" s="145"/>
      <c r="AE932" s="145"/>
      <c r="AF932" s="145"/>
      <c r="AG932" s="145"/>
      <c r="AH932" s="145"/>
      <c r="AI932" s="145"/>
      <c r="AJ932" s="145"/>
      <c r="AK932" s="145"/>
      <c r="AL932" s="145"/>
      <c r="AM932" s="145"/>
      <c r="AN932" s="145"/>
      <c r="AO932" s="145"/>
      <c r="AP932" s="145"/>
      <c r="AQ932" s="145"/>
      <c r="AR932" s="145"/>
      <c r="AS932" s="145"/>
      <c r="AT932" s="145"/>
      <c r="AU932" s="145"/>
      <c r="AV932" s="146"/>
      <c r="AW932" s="146"/>
      <c r="AX932" s="146"/>
      <c r="AY932" s="146"/>
      <c r="AZ932" s="145"/>
      <c r="BA932" s="146"/>
      <c r="BB932" s="145"/>
      <c r="BC932" s="145"/>
      <c r="BD932" s="145"/>
      <c r="BE932" s="145"/>
      <c r="BF932" s="145"/>
      <c r="BG932" s="145"/>
      <c r="BH932" s="145"/>
      <c r="BI932" s="145"/>
      <c r="BJ932" s="145"/>
      <c r="BK932" s="145"/>
    </row>
    <row r="933" spans="1:63" s="147" customFormat="1" ht="15" x14ac:dyDescent="0.25">
      <c r="A933" s="39" t="s">
        <v>745</v>
      </c>
      <c r="B933" s="97" t="s">
        <v>220</v>
      </c>
      <c r="C933" s="103" t="s">
        <v>221</v>
      </c>
      <c r="D933" s="103"/>
      <c r="E933" s="103"/>
      <c r="F933" s="103"/>
      <c r="G933" s="103"/>
      <c r="H933" s="41" t="s">
        <v>222</v>
      </c>
      <c r="I933" s="42">
        <v>1</v>
      </c>
      <c r="J933" s="43">
        <v>1</v>
      </c>
      <c r="K933" s="43">
        <v>1</v>
      </c>
      <c r="L933" s="49">
        <v>8514.9500000000007</v>
      </c>
      <c r="M933" s="62">
        <v>1.17</v>
      </c>
      <c r="N933" s="49">
        <v>9962.49</v>
      </c>
      <c r="O933" s="42"/>
      <c r="P933" s="50">
        <v>11456.863499999999</v>
      </c>
      <c r="Q933" s="82"/>
      <c r="R933" s="82"/>
      <c r="S933" s="82"/>
      <c r="T933" s="82"/>
      <c r="U933" s="156"/>
      <c r="V933" s="82"/>
      <c r="W933" s="152"/>
      <c r="X933" s="82"/>
      <c r="Y933" s="82"/>
      <c r="Z933" s="82"/>
      <c r="AA933" s="82"/>
      <c r="AB933" s="145"/>
      <c r="AC933" s="145"/>
      <c r="AD933" s="145"/>
      <c r="AE933" s="145"/>
      <c r="AF933" s="145"/>
      <c r="AG933" s="145"/>
      <c r="AH933" s="145"/>
      <c r="AI933" s="145"/>
      <c r="AJ933" s="145"/>
      <c r="AK933" s="145"/>
      <c r="AL933" s="145"/>
      <c r="AM933" s="145"/>
      <c r="AN933" s="145"/>
      <c r="AO933" s="145"/>
      <c r="AP933" s="145"/>
      <c r="AQ933" s="145"/>
      <c r="AR933" s="145"/>
      <c r="AS933" s="145"/>
      <c r="AT933" s="145"/>
      <c r="AU933" s="145"/>
      <c r="AV933" s="146"/>
      <c r="AW933" s="146"/>
      <c r="AX933" s="146"/>
      <c r="AY933" s="146"/>
      <c r="AZ933" s="145"/>
      <c r="BA933" s="146"/>
      <c r="BB933" s="145"/>
      <c r="BC933" s="145"/>
      <c r="BD933" s="145"/>
      <c r="BE933" s="145"/>
      <c r="BF933" s="145"/>
      <c r="BG933" s="145"/>
      <c r="BH933" s="145"/>
      <c r="BI933" s="145"/>
      <c r="BJ933" s="145"/>
      <c r="BK933" s="145"/>
    </row>
    <row r="934" spans="1:63" s="147" customFormat="1" ht="15" x14ac:dyDescent="0.25">
      <c r="A934" s="59"/>
      <c r="B934" s="98"/>
      <c r="C934" s="102" t="s">
        <v>63</v>
      </c>
      <c r="D934" s="102"/>
      <c r="E934" s="102"/>
      <c r="F934" s="102"/>
      <c r="G934" s="102"/>
      <c r="H934" s="41"/>
      <c r="I934" s="42"/>
      <c r="J934" s="42"/>
      <c r="K934" s="42"/>
      <c r="L934" s="45"/>
      <c r="M934" s="42"/>
      <c r="N934" s="45"/>
      <c r="O934" s="42"/>
      <c r="P934" s="50">
        <v>11456.863499999999</v>
      </c>
      <c r="Q934" s="82"/>
      <c r="R934" s="82"/>
      <c r="S934" s="82"/>
      <c r="T934" s="82"/>
      <c r="U934" s="156"/>
      <c r="V934" s="82"/>
      <c r="W934" s="151"/>
      <c r="X934" s="82"/>
      <c r="Y934" s="82"/>
      <c r="Z934" s="82"/>
      <c r="AA934" s="82"/>
      <c r="AB934" s="145"/>
      <c r="AC934" s="145"/>
      <c r="AD934" s="145"/>
      <c r="AE934" s="145"/>
      <c r="AF934" s="145"/>
      <c r="AG934" s="145"/>
      <c r="AH934" s="145"/>
      <c r="AI934" s="145"/>
      <c r="AJ934" s="145"/>
      <c r="AK934" s="145"/>
      <c r="AL934" s="145"/>
      <c r="AM934" s="145"/>
      <c r="AN934" s="145"/>
      <c r="AO934" s="145"/>
      <c r="AP934" s="145"/>
      <c r="AQ934" s="145"/>
      <c r="AR934" s="145"/>
      <c r="AS934" s="145"/>
      <c r="AT934" s="145"/>
      <c r="AU934" s="145"/>
      <c r="AV934" s="146"/>
      <c r="AW934" s="146"/>
      <c r="AX934" s="146"/>
      <c r="AY934" s="146"/>
      <c r="AZ934" s="145"/>
      <c r="BA934" s="146"/>
      <c r="BB934" s="145"/>
      <c r="BC934" s="145"/>
      <c r="BD934" s="145"/>
      <c r="BE934" s="145"/>
      <c r="BF934" s="145"/>
      <c r="BG934" s="145"/>
      <c r="BH934" s="145"/>
      <c r="BI934" s="145"/>
      <c r="BJ934" s="145"/>
      <c r="BK934" s="145"/>
    </row>
    <row r="935" spans="1:63" s="147" customFormat="1" ht="15" x14ac:dyDescent="0.25">
      <c r="A935" s="39" t="s">
        <v>746</v>
      </c>
      <c r="B935" s="97" t="s">
        <v>306</v>
      </c>
      <c r="C935" s="103" t="s">
        <v>307</v>
      </c>
      <c r="D935" s="103"/>
      <c r="E935" s="103"/>
      <c r="F935" s="103"/>
      <c r="G935" s="103"/>
      <c r="H935" s="41" t="s">
        <v>75</v>
      </c>
      <c r="I935" s="42">
        <v>0.03</v>
      </c>
      <c r="J935" s="43">
        <v>1</v>
      </c>
      <c r="K935" s="62">
        <v>0.03</v>
      </c>
      <c r="L935" s="45"/>
      <c r="M935" s="42"/>
      <c r="N935" s="45"/>
      <c r="O935" s="42"/>
      <c r="P935" s="50"/>
      <c r="Q935" s="82"/>
      <c r="R935" s="82"/>
      <c r="S935" s="82"/>
      <c r="T935" s="82"/>
      <c r="U935" s="153"/>
      <c r="V935" s="82"/>
      <c r="W935" s="168"/>
      <c r="X935" s="82"/>
      <c r="Y935" s="82"/>
      <c r="Z935" s="82"/>
      <c r="AA935" s="82"/>
      <c r="AB935" s="145"/>
      <c r="AC935" s="145"/>
      <c r="AD935" s="145"/>
      <c r="AE935" s="145"/>
      <c r="AF935" s="145"/>
      <c r="AG935" s="145"/>
      <c r="AH935" s="145"/>
      <c r="AI935" s="145"/>
      <c r="AJ935" s="145"/>
      <c r="AK935" s="145"/>
      <c r="AL935" s="145"/>
      <c r="AM935" s="145"/>
      <c r="AN935" s="145"/>
      <c r="AO935" s="145"/>
      <c r="AP935" s="145"/>
      <c r="AQ935" s="145"/>
      <c r="AR935" s="145"/>
      <c r="AS935" s="145"/>
      <c r="AT935" s="145"/>
      <c r="AU935" s="145"/>
      <c r="AV935" s="146"/>
      <c r="AW935" s="146"/>
      <c r="AX935" s="146"/>
      <c r="AY935" s="146"/>
      <c r="AZ935" s="145"/>
      <c r="BA935" s="146"/>
      <c r="BB935" s="145"/>
      <c r="BC935" s="145"/>
      <c r="BD935" s="145"/>
      <c r="BE935" s="145"/>
      <c r="BF935" s="145"/>
      <c r="BG935" s="145"/>
      <c r="BH935" s="145"/>
      <c r="BI935" s="145"/>
      <c r="BJ935" s="145"/>
      <c r="BK935" s="145"/>
    </row>
    <row r="936" spans="1:63" s="147" customFormat="1" ht="15" x14ac:dyDescent="0.25">
      <c r="A936" s="47"/>
      <c r="B936" s="48"/>
      <c r="C936" s="102" t="s">
        <v>56</v>
      </c>
      <c r="D936" s="102"/>
      <c r="E936" s="102"/>
      <c r="F936" s="102"/>
      <c r="G936" s="102"/>
      <c r="H936" s="41"/>
      <c r="I936" s="42"/>
      <c r="J936" s="42"/>
      <c r="K936" s="42"/>
      <c r="L936" s="45"/>
      <c r="M936" s="42"/>
      <c r="N936" s="49"/>
      <c r="O936" s="42"/>
      <c r="P936" s="50">
        <v>3628.2</v>
      </c>
      <c r="Q936" s="157"/>
      <c r="R936" s="157"/>
      <c r="S936" s="82"/>
      <c r="T936" s="82"/>
      <c r="U936" s="156"/>
      <c r="V936" s="82"/>
      <c r="W936" s="151"/>
      <c r="X936" s="82"/>
      <c r="Y936" s="82"/>
      <c r="Z936" s="82"/>
      <c r="AA936" s="82"/>
      <c r="AB936" s="145"/>
      <c r="AC936" s="145"/>
      <c r="AD936" s="145"/>
      <c r="AE936" s="145"/>
      <c r="AF936" s="145"/>
      <c r="AG936" s="145"/>
      <c r="AH936" s="145"/>
      <c r="AI936" s="145"/>
      <c r="AJ936" s="145"/>
      <c r="AK936" s="145"/>
      <c r="AL936" s="145"/>
      <c r="AM936" s="145"/>
      <c r="AN936" s="145"/>
      <c r="AO936" s="145"/>
      <c r="AP936" s="145"/>
      <c r="AQ936" s="145"/>
      <c r="AR936" s="145"/>
      <c r="AS936" s="145"/>
      <c r="AT936" s="145"/>
      <c r="AU936" s="145"/>
      <c r="AV936" s="146"/>
      <c r="AW936" s="146"/>
      <c r="AX936" s="146"/>
      <c r="AY936" s="146"/>
      <c r="AZ936" s="145"/>
      <c r="BA936" s="146"/>
      <c r="BB936" s="145"/>
      <c r="BC936" s="145"/>
      <c r="BD936" s="145"/>
      <c r="BE936" s="145"/>
      <c r="BF936" s="145"/>
      <c r="BG936" s="145"/>
      <c r="BH936" s="145"/>
      <c r="BI936" s="145"/>
      <c r="BJ936" s="145"/>
      <c r="BK936" s="145"/>
    </row>
    <row r="937" spans="1:63" s="147" customFormat="1" ht="15" x14ac:dyDescent="0.25">
      <c r="A937" s="52"/>
      <c r="B937" s="53"/>
      <c r="C937" s="104" t="s">
        <v>57</v>
      </c>
      <c r="D937" s="104"/>
      <c r="E937" s="104"/>
      <c r="F937" s="104"/>
      <c r="G937" s="104"/>
      <c r="H937" s="54"/>
      <c r="I937" s="55"/>
      <c r="J937" s="55"/>
      <c r="K937" s="55"/>
      <c r="L937" s="56"/>
      <c r="M937" s="55"/>
      <c r="N937" s="56"/>
      <c r="O937" s="55"/>
      <c r="P937" s="77"/>
      <c r="Q937" s="82"/>
      <c r="R937" s="82"/>
      <c r="S937" s="82"/>
      <c r="T937" s="82"/>
      <c r="U937" s="163"/>
      <c r="V937" s="82"/>
      <c r="W937" s="160"/>
      <c r="X937" s="82"/>
      <c r="Y937" s="82"/>
      <c r="Z937" s="82"/>
      <c r="AA937" s="82"/>
      <c r="AB937" s="145"/>
      <c r="AC937" s="145"/>
      <c r="AD937" s="145"/>
      <c r="AE937" s="145"/>
      <c r="AF937" s="145"/>
      <c r="AG937" s="145"/>
      <c r="AH937" s="145"/>
      <c r="AI937" s="145"/>
      <c r="AJ937" s="145"/>
      <c r="AK937" s="145"/>
      <c r="AL937" s="145"/>
      <c r="AM937" s="145"/>
      <c r="AN937" s="145"/>
      <c r="AO937" s="145"/>
      <c r="AP937" s="145"/>
      <c r="AQ937" s="145"/>
      <c r="AR937" s="145"/>
      <c r="AS937" s="145"/>
      <c r="AT937" s="145"/>
      <c r="AU937" s="145"/>
      <c r="AV937" s="146"/>
      <c r="AW937" s="146"/>
      <c r="AX937" s="146"/>
      <c r="AY937" s="146"/>
      <c r="AZ937" s="145"/>
      <c r="BA937" s="146"/>
      <c r="BB937" s="145"/>
      <c r="BC937" s="145"/>
      <c r="BD937" s="145"/>
      <c r="BE937" s="145"/>
      <c r="BF937" s="145"/>
      <c r="BG937" s="145"/>
      <c r="BH937" s="145"/>
      <c r="BI937" s="145"/>
      <c r="BJ937" s="145"/>
      <c r="BK937" s="145"/>
    </row>
    <row r="938" spans="1:63" s="147" customFormat="1" ht="15" x14ac:dyDescent="0.25">
      <c r="A938" s="52"/>
      <c r="B938" s="53" t="s">
        <v>225</v>
      </c>
      <c r="C938" s="104" t="s">
        <v>226</v>
      </c>
      <c r="D938" s="104"/>
      <c r="E938" s="104"/>
      <c r="F938" s="104"/>
      <c r="G938" s="104"/>
      <c r="H938" s="54" t="s">
        <v>60</v>
      </c>
      <c r="I938" s="58">
        <v>103</v>
      </c>
      <c r="J938" s="55"/>
      <c r="K938" s="58">
        <v>103</v>
      </c>
      <c r="L938" s="56"/>
      <c r="M938" s="55"/>
      <c r="N938" s="56"/>
      <c r="O938" s="55"/>
      <c r="P938" s="77"/>
      <c r="Q938" s="82"/>
      <c r="R938" s="82"/>
      <c r="S938" s="82"/>
      <c r="T938" s="82"/>
      <c r="U938" s="163"/>
      <c r="V938" s="82"/>
      <c r="W938" s="164"/>
      <c r="X938" s="82"/>
      <c r="Y938" s="82"/>
      <c r="Z938" s="82"/>
      <c r="AA938" s="82"/>
      <c r="AB938" s="145"/>
      <c r="AC938" s="145"/>
      <c r="AD938" s="145"/>
      <c r="AE938" s="145"/>
      <c r="AF938" s="145"/>
      <c r="AG938" s="145"/>
      <c r="AH938" s="145"/>
      <c r="AI938" s="145"/>
      <c r="AJ938" s="145"/>
      <c r="AK938" s="145"/>
      <c r="AL938" s="145"/>
      <c r="AM938" s="145"/>
      <c r="AN938" s="145"/>
      <c r="AO938" s="145"/>
      <c r="AP938" s="145"/>
      <c r="AQ938" s="145"/>
      <c r="AR938" s="145"/>
      <c r="AS938" s="145"/>
      <c r="AT938" s="145"/>
      <c r="AU938" s="145"/>
      <c r="AV938" s="146"/>
      <c r="AW938" s="146"/>
      <c r="AX938" s="146"/>
      <c r="AY938" s="146"/>
      <c r="AZ938" s="145"/>
      <c r="BA938" s="146"/>
      <c r="BB938" s="145"/>
      <c r="BC938" s="145"/>
      <c r="BD938" s="145"/>
      <c r="BE938" s="145"/>
      <c r="BF938" s="145"/>
      <c r="BG938" s="145"/>
      <c r="BH938" s="145"/>
      <c r="BI938" s="145"/>
      <c r="BJ938" s="145"/>
      <c r="BK938" s="145"/>
    </row>
    <row r="939" spans="1:63" s="147" customFormat="1" ht="15" x14ac:dyDescent="0.25">
      <c r="A939" s="52"/>
      <c r="B939" s="53" t="s">
        <v>227</v>
      </c>
      <c r="C939" s="104" t="s">
        <v>228</v>
      </c>
      <c r="D939" s="104"/>
      <c r="E939" s="104"/>
      <c r="F939" s="104"/>
      <c r="G939" s="104"/>
      <c r="H939" s="54" t="s">
        <v>60</v>
      </c>
      <c r="I939" s="58">
        <v>52</v>
      </c>
      <c r="J939" s="55"/>
      <c r="K939" s="58">
        <v>52</v>
      </c>
      <c r="L939" s="56"/>
      <c r="M939" s="55"/>
      <c r="N939" s="56"/>
      <c r="O939" s="55"/>
      <c r="P939" s="77">
        <v>8594.8239999999987</v>
      </c>
      <c r="Q939" s="82"/>
      <c r="R939" s="82"/>
      <c r="S939" s="82"/>
      <c r="T939" s="82"/>
      <c r="U939" s="163"/>
      <c r="V939" s="82"/>
      <c r="W939" s="164"/>
      <c r="X939" s="82"/>
      <c r="Y939" s="82"/>
      <c r="Z939" s="82"/>
      <c r="AA939" s="82"/>
      <c r="AB939" s="145"/>
      <c r="AC939" s="145"/>
      <c r="AD939" s="145"/>
      <c r="AE939" s="145"/>
      <c r="AF939" s="145"/>
      <c r="AG939" s="145"/>
      <c r="AH939" s="145"/>
      <c r="AI939" s="145"/>
      <c r="AJ939" s="145"/>
      <c r="AK939" s="145"/>
      <c r="AL939" s="145"/>
      <c r="AM939" s="145"/>
      <c r="AN939" s="145"/>
      <c r="AO939" s="145"/>
      <c r="AP939" s="145"/>
      <c r="AQ939" s="145"/>
      <c r="AR939" s="145"/>
      <c r="AS939" s="145"/>
      <c r="AT939" s="145"/>
      <c r="AU939" s="145"/>
      <c r="AV939" s="146"/>
      <c r="AW939" s="146"/>
      <c r="AX939" s="146"/>
      <c r="AY939" s="146"/>
      <c r="AZ939" s="145"/>
      <c r="BA939" s="146"/>
      <c r="BB939" s="145"/>
      <c r="BC939" s="145"/>
      <c r="BD939" s="145"/>
      <c r="BE939" s="145"/>
      <c r="BF939" s="145"/>
      <c r="BG939" s="145"/>
      <c r="BH939" s="145"/>
      <c r="BI939" s="145"/>
      <c r="BJ939" s="145"/>
      <c r="BK939" s="145"/>
    </row>
    <row r="940" spans="1:63" s="147" customFormat="1" ht="15" x14ac:dyDescent="0.25">
      <c r="A940" s="59"/>
      <c r="B940" s="98"/>
      <c r="C940" s="102" t="s">
        <v>63</v>
      </c>
      <c r="D940" s="102"/>
      <c r="E940" s="102"/>
      <c r="F940" s="102"/>
      <c r="G940" s="102"/>
      <c r="H940" s="41"/>
      <c r="I940" s="42"/>
      <c r="J940" s="42"/>
      <c r="K940" s="42"/>
      <c r="L940" s="45"/>
      <c r="M940" s="42"/>
      <c r="N940" s="49">
        <v>1837308.5</v>
      </c>
      <c r="O940" s="42"/>
      <c r="P940" s="50">
        <v>10884.599999999999</v>
      </c>
      <c r="Q940" s="82"/>
      <c r="R940" s="82"/>
      <c r="S940" s="82"/>
      <c r="T940" s="82"/>
      <c r="U940" s="156"/>
      <c r="V940" s="82"/>
      <c r="W940" s="151"/>
      <c r="X940" s="82"/>
      <c r="Y940" s="82"/>
      <c r="Z940" s="82"/>
      <c r="AA940" s="82"/>
      <c r="AB940" s="145"/>
      <c r="AC940" s="145"/>
      <c r="AD940" s="145"/>
      <c r="AE940" s="145"/>
      <c r="AF940" s="145"/>
      <c r="AG940" s="145"/>
      <c r="AH940" s="145"/>
      <c r="AI940" s="145"/>
      <c r="AJ940" s="145"/>
      <c r="AK940" s="145"/>
      <c r="AL940" s="145"/>
      <c r="AM940" s="145"/>
      <c r="AN940" s="145"/>
      <c r="AO940" s="145"/>
      <c r="AP940" s="145"/>
      <c r="AQ940" s="145"/>
      <c r="AR940" s="145"/>
      <c r="AS940" s="145"/>
      <c r="AT940" s="145"/>
      <c r="AU940" s="145"/>
      <c r="AV940" s="146"/>
      <c r="AW940" s="146"/>
      <c r="AX940" s="146"/>
      <c r="AY940" s="146"/>
      <c r="AZ940" s="145"/>
      <c r="BA940" s="146"/>
      <c r="BB940" s="145"/>
      <c r="BC940" s="145"/>
      <c r="BD940" s="145"/>
      <c r="BE940" s="145"/>
      <c r="BF940" s="145"/>
      <c r="BG940" s="145"/>
      <c r="BH940" s="145"/>
      <c r="BI940" s="145"/>
      <c r="BJ940" s="145"/>
      <c r="BK940" s="145"/>
    </row>
    <row r="941" spans="1:63" s="147" customFormat="1" ht="15" x14ac:dyDescent="0.25">
      <c r="A941" s="39" t="s">
        <v>747</v>
      </c>
      <c r="B941" s="97" t="s">
        <v>230</v>
      </c>
      <c r="C941" s="105" t="s">
        <v>316</v>
      </c>
      <c r="D941" s="105"/>
      <c r="E941" s="105"/>
      <c r="F941" s="105"/>
      <c r="G941" s="105"/>
      <c r="H941" s="41" t="s">
        <v>222</v>
      </c>
      <c r="I941" s="42">
        <v>3</v>
      </c>
      <c r="J941" s="43">
        <v>1</v>
      </c>
      <c r="K941" s="43">
        <v>3</v>
      </c>
      <c r="L941" s="49">
        <v>3432.22</v>
      </c>
      <c r="M941" s="67">
        <v>1.3</v>
      </c>
      <c r="N941" s="49">
        <f>4461.89+1500</f>
        <v>5961.89</v>
      </c>
      <c r="O941" s="42"/>
      <c r="P941" s="50">
        <v>21762.346999999998</v>
      </c>
      <c r="Q941" s="82"/>
      <c r="R941" s="82"/>
      <c r="S941" s="82"/>
      <c r="T941" s="82"/>
      <c r="U941" s="156"/>
      <c r="V941" s="82"/>
      <c r="W941" s="152"/>
      <c r="X941" s="82"/>
      <c r="Y941" s="82"/>
      <c r="Z941" s="82"/>
      <c r="AA941" s="82"/>
      <c r="AB941" s="145"/>
      <c r="AC941" s="145"/>
      <c r="AD941" s="145"/>
      <c r="AE941" s="145"/>
      <c r="AF941" s="145"/>
      <c r="AG941" s="145"/>
      <c r="AH941" s="145"/>
      <c r="AI941" s="145"/>
      <c r="AJ941" s="145"/>
      <c r="AK941" s="145"/>
      <c r="AL941" s="145"/>
      <c r="AM941" s="145"/>
      <c r="AN941" s="145"/>
      <c r="AO941" s="145"/>
      <c r="AP941" s="145"/>
      <c r="AQ941" s="145"/>
      <c r="AR941" s="145"/>
      <c r="AS941" s="145"/>
      <c r="AT941" s="145"/>
      <c r="AU941" s="145"/>
      <c r="AV941" s="146"/>
      <c r="AW941" s="146"/>
      <c r="AX941" s="146"/>
      <c r="AY941" s="146"/>
      <c r="AZ941" s="145"/>
      <c r="BA941" s="146"/>
      <c r="BB941" s="145"/>
      <c r="BC941" s="145"/>
      <c r="BD941" s="145"/>
      <c r="BE941" s="145"/>
      <c r="BF941" s="145"/>
      <c r="BG941" s="145"/>
      <c r="BH941" s="145"/>
      <c r="BI941" s="145"/>
      <c r="BJ941" s="145"/>
      <c r="BK941" s="145"/>
    </row>
    <row r="942" spans="1:63" s="147" customFormat="1" ht="15" x14ac:dyDescent="0.25">
      <c r="A942" s="59"/>
      <c r="B942" s="98"/>
      <c r="C942" s="106" t="s">
        <v>63</v>
      </c>
      <c r="D942" s="106"/>
      <c r="E942" s="106"/>
      <c r="F942" s="106"/>
      <c r="G942" s="106"/>
      <c r="H942" s="41"/>
      <c r="I942" s="42"/>
      <c r="J942" s="42"/>
      <c r="K942" s="42"/>
      <c r="L942" s="45"/>
      <c r="M942" s="42"/>
      <c r="N942" s="45"/>
      <c r="O942" s="42"/>
      <c r="P942" s="50">
        <v>21762.346999999998</v>
      </c>
      <c r="Q942" s="82"/>
      <c r="R942" s="82"/>
      <c r="S942" s="82"/>
      <c r="T942" s="82"/>
      <c r="U942" s="156"/>
      <c r="V942" s="82"/>
      <c r="W942" s="151"/>
      <c r="X942" s="82"/>
      <c r="Y942" s="82"/>
      <c r="Z942" s="82"/>
      <c r="AA942" s="82"/>
      <c r="AB942" s="145"/>
      <c r="AC942" s="145"/>
      <c r="AD942" s="145"/>
      <c r="AE942" s="145"/>
      <c r="AF942" s="145"/>
      <c r="AG942" s="145"/>
      <c r="AH942" s="145"/>
      <c r="AI942" s="145"/>
      <c r="AJ942" s="145"/>
      <c r="AK942" s="145"/>
      <c r="AL942" s="145"/>
      <c r="AM942" s="145"/>
      <c r="AN942" s="145"/>
      <c r="AO942" s="145"/>
      <c r="AP942" s="145"/>
      <c r="AQ942" s="145"/>
      <c r="AR942" s="145"/>
      <c r="AS942" s="145"/>
      <c r="AT942" s="145"/>
      <c r="AU942" s="145"/>
      <c r="AV942" s="146"/>
      <c r="AW942" s="146"/>
      <c r="AX942" s="146"/>
      <c r="AY942" s="146"/>
      <c r="AZ942" s="145"/>
      <c r="BA942" s="146"/>
      <c r="BB942" s="145"/>
      <c r="BC942" s="145"/>
      <c r="BD942" s="145"/>
      <c r="BE942" s="145"/>
      <c r="BF942" s="145"/>
      <c r="BG942" s="145"/>
      <c r="BH942" s="145"/>
      <c r="BI942" s="145"/>
      <c r="BJ942" s="145"/>
      <c r="BK942" s="145"/>
    </row>
    <row r="943" spans="1:63" s="147" customFormat="1" ht="15" x14ac:dyDescent="0.25">
      <c r="A943" s="39" t="s">
        <v>748</v>
      </c>
      <c r="B943" s="97" t="s">
        <v>233</v>
      </c>
      <c r="C943" s="103" t="s">
        <v>234</v>
      </c>
      <c r="D943" s="103"/>
      <c r="E943" s="103"/>
      <c r="F943" s="103"/>
      <c r="G943" s="103"/>
      <c r="H943" s="41" t="s">
        <v>75</v>
      </c>
      <c r="I943" s="42">
        <v>0.03</v>
      </c>
      <c r="J943" s="43">
        <v>1</v>
      </c>
      <c r="K943" s="62">
        <v>0.03</v>
      </c>
      <c r="L943" s="45"/>
      <c r="M943" s="42"/>
      <c r="N943" s="45"/>
      <c r="O943" s="42"/>
      <c r="P943" s="50"/>
      <c r="Q943" s="82"/>
      <c r="R943" s="82"/>
      <c r="S943" s="82"/>
      <c r="T943" s="82"/>
      <c r="U943" s="153"/>
      <c r="V943" s="82"/>
      <c r="W943" s="168"/>
      <c r="X943" s="82"/>
      <c r="Y943" s="82"/>
      <c r="Z943" s="82"/>
      <c r="AA943" s="82"/>
      <c r="AB943" s="145"/>
      <c r="AC943" s="145"/>
      <c r="AD943" s="145"/>
      <c r="AE943" s="145"/>
      <c r="AF943" s="145"/>
      <c r="AG943" s="145"/>
      <c r="AH943" s="145"/>
      <c r="AI943" s="145"/>
      <c r="AJ943" s="145"/>
      <c r="AK943" s="145"/>
      <c r="AL943" s="145"/>
      <c r="AM943" s="145"/>
      <c r="AN943" s="145"/>
      <c r="AO943" s="145"/>
      <c r="AP943" s="145"/>
      <c r="AQ943" s="145"/>
      <c r="AR943" s="145"/>
      <c r="AS943" s="145"/>
      <c r="AT943" s="145"/>
      <c r="AU943" s="145"/>
      <c r="AV943" s="146"/>
      <c r="AW943" s="146"/>
      <c r="AX943" s="146"/>
      <c r="AY943" s="146"/>
      <c r="AZ943" s="145"/>
      <c r="BA943" s="146"/>
      <c r="BB943" s="145"/>
      <c r="BC943" s="145"/>
      <c r="BD943" s="145"/>
      <c r="BE943" s="145"/>
      <c r="BF943" s="145"/>
      <c r="BG943" s="145"/>
      <c r="BH943" s="145"/>
      <c r="BI943" s="145"/>
      <c r="BJ943" s="145"/>
      <c r="BK943" s="145"/>
    </row>
    <row r="944" spans="1:63" s="147" customFormat="1" ht="15" x14ac:dyDescent="0.25">
      <c r="A944" s="47"/>
      <c r="B944" s="48"/>
      <c r="C944" s="102" t="s">
        <v>56</v>
      </c>
      <c r="D944" s="102"/>
      <c r="E944" s="102"/>
      <c r="F944" s="102"/>
      <c r="G944" s="102"/>
      <c r="H944" s="41"/>
      <c r="I944" s="42"/>
      <c r="J944" s="42"/>
      <c r="K944" s="42"/>
      <c r="L944" s="45"/>
      <c r="M944" s="42"/>
      <c r="N944" s="49"/>
      <c r="O944" s="42"/>
      <c r="P944" s="50">
        <v>951.78599999999994</v>
      </c>
      <c r="Q944" s="157"/>
      <c r="R944" s="157"/>
      <c r="S944" s="82"/>
      <c r="T944" s="82"/>
      <c r="U944" s="156"/>
      <c r="V944" s="82"/>
      <c r="W944" s="151"/>
      <c r="X944" s="82"/>
      <c r="Y944" s="82"/>
      <c r="Z944" s="82"/>
      <c r="AA944" s="82"/>
      <c r="AB944" s="145"/>
      <c r="AC944" s="145"/>
      <c r="AD944" s="145"/>
      <c r="AE944" s="145"/>
      <c r="AF944" s="145"/>
      <c r="AG944" s="145"/>
      <c r="AH944" s="145"/>
      <c r="AI944" s="145"/>
      <c r="AJ944" s="145"/>
      <c r="AK944" s="145"/>
      <c r="AL944" s="145"/>
      <c r="AM944" s="145"/>
      <c r="AN944" s="145"/>
      <c r="AO944" s="145"/>
      <c r="AP944" s="145"/>
      <c r="AQ944" s="145"/>
      <c r="AR944" s="145"/>
      <c r="AS944" s="145"/>
      <c r="AT944" s="145"/>
      <c r="AU944" s="145"/>
      <c r="AV944" s="146"/>
      <c r="AW944" s="146"/>
      <c r="AX944" s="146"/>
      <c r="AY944" s="146"/>
      <c r="AZ944" s="145"/>
      <c r="BA944" s="146"/>
      <c r="BB944" s="145"/>
      <c r="BC944" s="145"/>
      <c r="BD944" s="145"/>
      <c r="BE944" s="145"/>
      <c r="BF944" s="145"/>
      <c r="BG944" s="145"/>
      <c r="BH944" s="145"/>
      <c r="BI944" s="145"/>
      <c r="BJ944" s="145"/>
      <c r="BK944" s="145"/>
    </row>
    <row r="945" spans="1:63" s="147" customFormat="1" ht="15" x14ac:dyDescent="0.25">
      <c r="A945" s="52"/>
      <c r="B945" s="53"/>
      <c r="C945" s="104" t="s">
        <v>57</v>
      </c>
      <c r="D945" s="104"/>
      <c r="E945" s="104"/>
      <c r="F945" s="104"/>
      <c r="G945" s="104"/>
      <c r="H945" s="54"/>
      <c r="I945" s="55"/>
      <c r="J945" s="55"/>
      <c r="K945" s="55"/>
      <c r="L945" s="56"/>
      <c r="M945" s="55"/>
      <c r="N945" s="56"/>
      <c r="O945" s="55"/>
      <c r="P945" s="77">
        <v>652.09599999999989</v>
      </c>
      <c r="Q945" s="82"/>
      <c r="R945" s="82"/>
      <c r="S945" s="82"/>
      <c r="T945" s="82"/>
      <c r="U945" s="170"/>
      <c r="V945" s="82"/>
      <c r="W945" s="160"/>
      <c r="X945" s="82"/>
      <c r="Y945" s="82"/>
      <c r="Z945" s="82"/>
      <c r="AA945" s="82"/>
      <c r="AB945" s="145"/>
      <c r="AC945" s="145"/>
      <c r="AD945" s="145"/>
      <c r="AE945" s="145"/>
      <c r="AF945" s="145"/>
      <c r="AG945" s="145"/>
      <c r="AH945" s="145"/>
      <c r="AI945" s="145"/>
      <c r="AJ945" s="145"/>
      <c r="AK945" s="145"/>
      <c r="AL945" s="145"/>
      <c r="AM945" s="145"/>
      <c r="AN945" s="145"/>
      <c r="AO945" s="145"/>
      <c r="AP945" s="145"/>
      <c r="AQ945" s="145"/>
      <c r="AR945" s="145"/>
      <c r="AS945" s="145"/>
      <c r="AT945" s="145"/>
      <c r="AU945" s="145"/>
      <c r="AV945" s="146"/>
      <c r="AW945" s="146"/>
      <c r="AX945" s="146"/>
      <c r="AY945" s="146"/>
      <c r="AZ945" s="145"/>
      <c r="BA945" s="146"/>
      <c r="BB945" s="145"/>
      <c r="BC945" s="145"/>
      <c r="BD945" s="145"/>
      <c r="BE945" s="145"/>
      <c r="BF945" s="145"/>
      <c r="BG945" s="145"/>
      <c r="BH945" s="145"/>
      <c r="BI945" s="145"/>
      <c r="BJ945" s="145"/>
      <c r="BK945" s="145"/>
    </row>
    <row r="946" spans="1:63" s="147" customFormat="1" ht="15" x14ac:dyDescent="0.25">
      <c r="A946" s="52"/>
      <c r="B946" s="53" t="s">
        <v>225</v>
      </c>
      <c r="C946" s="104" t="s">
        <v>226</v>
      </c>
      <c r="D946" s="104"/>
      <c r="E946" s="104"/>
      <c r="F946" s="104"/>
      <c r="G946" s="104"/>
      <c r="H946" s="54" t="s">
        <v>60</v>
      </c>
      <c r="I946" s="58">
        <v>103</v>
      </c>
      <c r="J946" s="55"/>
      <c r="K946" s="58">
        <v>103</v>
      </c>
      <c r="L946" s="56"/>
      <c r="M946" s="55"/>
      <c r="N946" s="56"/>
      <c r="O946" s="55"/>
      <c r="P946" s="77">
        <v>671.65749999999991</v>
      </c>
      <c r="Q946" s="82"/>
      <c r="R946" s="82"/>
      <c r="S946" s="82"/>
      <c r="T946" s="82"/>
      <c r="U946" s="170"/>
      <c r="V946" s="82"/>
      <c r="W946" s="164"/>
      <c r="X946" s="82"/>
      <c r="Y946" s="82"/>
      <c r="Z946" s="82"/>
      <c r="AA946" s="82"/>
      <c r="AB946" s="145"/>
      <c r="AC946" s="145"/>
      <c r="AD946" s="145"/>
      <c r="AE946" s="145"/>
      <c r="AF946" s="145"/>
      <c r="AG946" s="145"/>
      <c r="AH946" s="145"/>
      <c r="AI946" s="145"/>
      <c r="AJ946" s="145"/>
      <c r="AK946" s="145"/>
      <c r="AL946" s="145"/>
      <c r="AM946" s="145"/>
      <c r="AN946" s="145"/>
      <c r="AO946" s="145"/>
      <c r="AP946" s="145"/>
      <c r="AQ946" s="145"/>
      <c r="AR946" s="145"/>
      <c r="AS946" s="145"/>
      <c r="AT946" s="145"/>
      <c r="AU946" s="145"/>
      <c r="AV946" s="146"/>
      <c r="AW946" s="146"/>
      <c r="AX946" s="146"/>
      <c r="AY946" s="146"/>
      <c r="AZ946" s="145"/>
      <c r="BA946" s="146"/>
      <c r="BB946" s="145"/>
      <c r="BC946" s="145"/>
      <c r="BD946" s="145"/>
      <c r="BE946" s="145"/>
      <c r="BF946" s="145"/>
      <c r="BG946" s="145"/>
      <c r="BH946" s="145"/>
      <c r="BI946" s="145"/>
      <c r="BJ946" s="145"/>
      <c r="BK946" s="145"/>
    </row>
    <row r="947" spans="1:63" s="147" customFormat="1" ht="15" x14ac:dyDescent="0.25">
      <c r="A947" s="52"/>
      <c r="B947" s="53" t="s">
        <v>227</v>
      </c>
      <c r="C947" s="104" t="s">
        <v>228</v>
      </c>
      <c r="D947" s="104"/>
      <c r="E947" s="104"/>
      <c r="F947" s="104"/>
      <c r="G947" s="104"/>
      <c r="H947" s="54" t="s">
        <v>60</v>
      </c>
      <c r="I947" s="58">
        <v>52</v>
      </c>
      <c r="J947" s="55"/>
      <c r="K947" s="58">
        <v>52</v>
      </c>
      <c r="L947" s="56"/>
      <c r="M947" s="55"/>
      <c r="N947" s="56"/>
      <c r="O947" s="55"/>
      <c r="P947" s="77">
        <v>339.089</v>
      </c>
      <c r="Q947" s="82"/>
      <c r="R947" s="82"/>
      <c r="S947" s="82"/>
      <c r="T947" s="82"/>
      <c r="U947" s="170"/>
      <c r="V947" s="82"/>
      <c r="W947" s="164"/>
      <c r="X947" s="82"/>
      <c r="Y947" s="82"/>
      <c r="Z947" s="82"/>
      <c r="AA947" s="82"/>
      <c r="AB947" s="145"/>
      <c r="AC947" s="145"/>
      <c r="AD947" s="145"/>
      <c r="AE947" s="145"/>
      <c r="AF947" s="145"/>
      <c r="AG947" s="145"/>
      <c r="AH947" s="145"/>
      <c r="AI947" s="145"/>
      <c r="AJ947" s="145"/>
      <c r="AK947" s="145"/>
      <c r="AL947" s="145"/>
      <c r="AM947" s="145"/>
      <c r="AN947" s="145"/>
      <c r="AO947" s="145"/>
      <c r="AP947" s="145"/>
      <c r="AQ947" s="145"/>
      <c r="AR947" s="145"/>
      <c r="AS947" s="145"/>
      <c r="AT947" s="145"/>
      <c r="AU947" s="145"/>
      <c r="AV947" s="146"/>
      <c r="AW947" s="146"/>
      <c r="AX947" s="146"/>
      <c r="AY947" s="146"/>
      <c r="AZ947" s="145"/>
      <c r="BA947" s="146"/>
      <c r="BB947" s="145"/>
      <c r="BC947" s="145"/>
      <c r="BD947" s="145"/>
      <c r="BE947" s="145"/>
      <c r="BF947" s="145"/>
      <c r="BG947" s="145"/>
      <c r="BH947" s="145"/>
      <c r="BI947" s="145"/>
      <c r="BJ947" s="145"/>
      <c r="BK947" s="145"/>
    </row>
    <row r="948" spans="1:63" s="147" customFormat="1" ht="15" x14ac:dyDescent="0.25">
      <c r="A948" s="59"/>
      <c r="B948" s="98"/>
      <c r="C948" s="102" t="s">
        <v>63</v>
      </c>
      <c r="D948" s="102"/>
      <c r="E948" s="102"/>
      <c r="F948" s="102"/>
      <c r="G948" s="102"/>
      <c r="H948" s="41"/>
      <c r="I948" s="42"/>
      <c r="J948" s="42"/>
      <c r="K948" s="42"/>
      <c r="L948" s="45"/>
      <c r="M948" s="42"/>
      <c r="N948" s="49">
        <v>85327.5</v>
      </c>
      <c r="O948" s="42"/>
      <c r="P948" s="50">
        <v>1962.5324999999998</v>
      </c>
      <c r="Q948" s="82"/>
      <c r="R948" s="82"/>
      <c r="S948" s="82"/>
      <c r="T948" s="82"/>
      <c r="U948" s="156"/>
      <c r="V948" s="82"/>
      <c r="W948" s="151"/>
      <c r="X948" s="82"/>
      <c r="Y948" s="82"/>
      <c r="Z948" s="82"/>
      <c r="AA948" s="82"/>
      <c r="AB948" s="145"/>
      <c r="AC948" s="145"/>
      <c r="AD948" s="145"/>
      <c r="AE948" s="145"/>
      <c r="AF948" s="145"/>
      <c r="AG948" s="145"/>
      <c r="AH948" s="145"/>
      <c r="AI948" s="145"/>
      <c r="AJ948" s="145"/>
      <c r="AK948" s="145"/>
      <c r="AL948" s="145"/>
      <c r="AM948" s="145"/>
      <c r="AN948" s="145"/>
      <c r="AO948" s="145"/>
      <c r="AP948" s="145"/>
      <c r="AQ948" s="145"/>
      <c r="AR948" s="145"/>
      <c r="AS948" s="145"/>
      <c r="AT948" s="145"/>
      <c r="AU948" s="145"/>
      <c r="AV948" s="146"/>
      <c r="AW948" s="146"/>
      <c r="AX948" s="146"/>
      <c r="AY948" s="146"/>
      <c r="AZ948" s="145"/>
      <c r="BA948" s="146"/>
      <c r="BB948" s="145"/>
      <c r="BC948" s="145"/>
      <c r="BD948" s="145"/>
      <c r="BE948" s="145"/>
      <c r="BF948" s="145"/>
      <c r="BG948" s="145"/>
      <c r="BH948" s="145"/>
      <c r="BI948" s="145"/>
      <c r="BJ948" s="145"/>
      <c r="BK948" s="145"/>
    </row>
    <row r="949" spans="1:63" s="147" customFormat="1" ht="15" x14ac:dyDescent="0.25">
      <c r="A949" s="39" t="s">
        <v>749</v>
      </c>
      <c r="B949" s="97" t="s">
        <v>236</v>
      </c>
      <c r="C949" s="103" t="s">
        <v>237</v>
      </c>
      <c r="D949" s="103"/>
      <c r="E949" s="103"/>
      <c r="F949" s="103"/>
      <c r="G949" s="103"/>
      <c r="H949" s="41" t="s">
        <v>222</v>
      </c>
      <c r="I949" s="42">
        <v>3</v>
      </c>
      <c r="J949" s="43">
        <v>1</v>
      </c>
      <c r="K949" s="43">
        <v>3</v>
      </c>
      <c r="L949" s="61">
        <v>237.33</v>
      </c>
      <c r="M949" s="62">
        <v>1.1299999999999999</v>
      </c>
      <c r="N949" s="61">
        <v>268.18</v>
      </c>
      <c r="O949" s="42"/>
      <c r="P949" s="50">
        <v>925.22099999999989</v>
      </c>
      <c r="Q949" s="82"/>
      <c r="R949" s="82"/>
      <c r="S949" s="82"/>
      <c r="T949" s="82"/>
      <c r="U949" s="167"/>
      <c r="V949" s="82"/>
      <c r="W949" s="152"/>
      <c r="X949" s="82"/>
      <c r="Y949" s="82"/>
      <c r="Z949" s="82"/>
      <c r="AA949" s="82"/>
      <c r="AB949" s="145"/>
      <c r="AC949" s="145"/>
      <c r="AD949" s="145"/>
      <c r="AE949" s="145"/>
      <c r="AF949" s="145"/>
      <c r="AG949" s="145"/>
      <c r="AH949" s="145"/>
      <c r="AI949" s="145"/>
      <c r="AJ949" s="145"/>
      <c r="AK949" s="145"/>
      <c r="AL949" s="145"/>
      <c r="AM949" s="145"/>
      <c r="AN949" s="145"/>
      <c r="AO949" s="145"/>
      <c r="AP949" s="145"/>
      <c r="AQ949" s="145"/>
      <c r="AR949" s="145"/>
      <c r="AS949" s="145"/>
      <c r="AT949" s="145"/>
      <c r="AU949" s="145"/>
      <c r="AV949" s="146"/>
      <c r="AW949" s="146"/>
      <c r="AX949" s="146"/>
      <c r="AY949" s="146"/>
      <c r="AZ949" s="145"/>
      <c r="BA949" s="146"/>
      <c r="BB949" s="145"/>
      <c r="BC949" s="145"/>
      <c r="BD949" s="145"/>
      <c r="BE949" s="145"/>
      <c r="BF949" s="145"/>
      <c r="BG949" s="145"/>
      <c r="BH949" s="145"/>
      <c r="BI949" s="145"/>
      <c r="BJ949" s="145"/>
      <c r="BK949" s="145"/>
    </row>
    <row r="950" spans="1:63" s="147" customFormat="1" ht="15" x14ac:dyDescent="0.25">
      <c r="A950" s="59"/>
      <c r="B950" s="98"/>
      <c r="C950" s="102" t="s">
        <v>63</v>
      </c>
      <c r="D950" s="102"/>
      <c r="E950" s="102"/>
      <c r="F950" s="102"/>
      <c r="G950" s="102"/>
      <c r="H950" s="41"/>
      <c r="I950" s="42"/>
      <c r="J950" s="42"/>
      <c r="K950" s="42"/>
      <c r="L950" s="45"/>
      <c r="M950" s="42"/>
      <c r="N950" s="45"/>
      <c r="O950" s="42"/>
      <c r="P950" s="50">
        <v>925.22099999999989</v>
      </c>
      <c r="Q950" s="82"/>
      <c r="R950" s="82"/>
      <c r="S950" s="82"/>
      <c r="T950" s="82"/>
      <c r="U950" s="167"/>
      <c r="V950" s="82"/>
      <c r="W950" s="151"/>
      <c r="X950" s="82"/>
      <c r="Y950" s="82"/>
      <c r="Z950" s="82"/>
      <c r="AA950" s="82"/>
      <c r="AB950" s="145"/>
      <c r="AC950" s="145"/>
      <c r="AD950" s="145"/>
      <c r="AE950" s="145"/>
      <c r="AF950" s="145"/>
      <c r="AG950" s="145"/>
      <c r="AH950" s="145"/>
      <c r="AI950" s="145"/>
      <c r="AJ950" s="145"/>
      <c r="AK950" s="145"/>
      <c r="AL950" s="145"/>
      <c r="AM950" s="145"/>
      <c r="AN950" s="145"/>
      <c r="AO950" s="145"/>
      <c r="AP950" s="145"/>
      <c r="AQ950" s="145"/>
      <c r="AR950" s="145"/>
      <c r="AS950" s="145"/>
      <c r="AT950" s="145"/>
      <c r="AU950" s="145"/>
      <c r="AV950" s="146"/>
      <c r="AW950" s="146"/>
      <c r="AX950" s="146"/>
      <c r="AY950" s="146"/>
      <c r="AZ950" s="145"/>
      <c r="BA950" s="146"/>
      <c r="BB950" s="145"/>
      <c r="BC950" s="145"/>
      <c r="BD950" s="145"/>
      <c r="BE950" s="145"/>
      <c r="BF950" s="145"/>
      <c r="BG950" s="145"/>
      <c r="BH950" s="145"/>
      <c r="BI950" s="145"/>
      <c r="BJ950" s="145"/>
      <c r="BK950" s="145"/>
    </row>
    <row r="951" spans="1:63" s="147" customFormat="1" ht="15" x14ac:dyDescent="0.25">
      <c r="A951" s="39" t="s">
        <v>749</v>
      </c>
      <c r="B951" s="97" t="s">
        <v>239</v>
      </c>
      <c r="C951" s="103" t="s">
        <v>240</v>
      </c>
      <c r="D951" s="103"/>
      <c r="E951" s="103"/>
      <c r="F951" s="103"/>
      <c r="G951" s="103"/>
      <c r="H951" s="41" t="s">
        <v>125</v>
      </c>
      <c r="I951" s="42">
        <v>0.02</v>
      </c>
      <c r="J951" s="43">
        <v>1</v>
      </c>
      <c r="K951" s="62">
        <v>0.02</v>
      </c>
      <c r="L951" s="45"/>
      <c r="M951" s="42"/>
      <c r="N951" s="45"/>
      <c r="O951" s="42"/>
      <c r="P951" s="50"/>
      <c r="Q951" s="82"/>
      <c r="R951" s="82"/>
      <c r="S951" s="82"/>
      <c r="T951" s="82"/>
      <c r="U951" s="153"/>
      <c r="V951" s="82"/>
      <c r="W951" s="168"/>
      <c r="X951" s="82"/>
      <c r="Y951" s="82"/>
      <c r="Z951" s="82"/>
      <c r="AA951" s="82"/>
      <c r="AB951" s="145"/>
      <c r="AC951" s="145"/>
      <c r="AD951" s="145"/>
      <c r="AE951" s="145"/>
      <c r="AF951" s="145"/>
      <c r="AG951" s="145"/>
      <c r="AH951" s="145"/>
      <c r="AI951" s="145"/>
      <c r="AJ951" s="145"/>
      <c r="AK951" s="145"/>
      <c r="AL951" s="145"/>
      <c r="AM951" s="145"/>
      <c r="AN951" s="145"/>
      <c r="AO951" s="145"/>
      <c r="AP951" s="145"/>
      <c r="AQ951" s="145"/>
      <c r="AR951" s="145"/>
      <c r="AS951" s="145"/>
      <c r="AT951" s="145"/>
      <c r="AU951" s="145"/>
      <c r="AV951" s="146"/>
      <c r="AW951" s="146"/>
      <c r="AX951" s="146"/>
      <c r="AY951" s="146"/>
      <c r="AZ951" s="145"/>
      <c r="BA951" s="146"/>
      <c r="BB951" s="145"/>
      <c r="BC951" s="145"/>
      <c r="BD951" s="145"/>
      <c r="BE951" s="145"/>
      <c r="BF951" s="145"/>
      <c r="BG951" s="145"/>
      <c r="BH951" s="145"/>
      <c r="BI951" s="145"/>
      <c r="BJ951" s="145"/>
      <c r="BK951" s="145"/>
    </row>
    <row r="952" spans="1:63" s="147" customFormat="1" ht="15" x14ac:dyDescent="0.25">
      <c r="A952" s="47"/>
      <c r="B952" s="48"/>
      <c r="C952" s="102" t="s">
        <v>56</v>
      </c>
      <c r="D952" s="102"/>
      <c r="E952" s="102"/>
      <c r="F952" s="102"/>
      <c r="G952" s="102"/>
      <c r="H952" s="41"/>
      <c r="I952" s="42"/>
      <c r="J952" s="42"/>
      <c r="K952" s="42"/>
      <c r="L952" s="45"/>
      <c r="M952" s="42"/>
      <c r="N952" s="49"/>
      <c r="O952" s="42"/>
      <c r="P952" s="50">
        <v>559.98099999999999</v>
      </c>
      <c r="Q952" s="157"/>
      <c r="R952" s="157"/>
      <c r="S952" s="82"/>
      <c r="T952" s="82"/>
      <c r="U952" s="156"/>
      <c r="V952" s="82"/>
      <c r="W952" s="151"/>
      <c r="X952" s="82"/>
      <c r="Y952" s="82"/>
      <c r="Z952" s="82"/>
      <c r="AA952" s="82"/>
      <c r="AB952" s="145"/>
      <c r="AC952" s="145"/>
      <c r="AD952" s="145"/>
      <c r="AE952" s="145"/>
      <c r="AF952" s="145"/>
      <c r="AG952" s="145"/>
      <c r="AH952" s="145"/>
      <c r="AI952" s="145"/>
      <c r="AJ952" s="145"/>
      <c r="AK952" s="145"/>
      <c r="AL952" s="145"/>
      <c r="AM952" s="145"/>
      <c r="AN952" s="145"/>
      <c r="AO952" s="145"/>
      <c r="AP952" s="145"/>
      <c r="AQ952" s="145"/>
      <c r="AR952" s="145"/>
      <c r="AS952" s="145"/>
      <c r="AT952" s="145"/>
      <c r="AU952" s="145"/>
      <c r="AV952" s="146"/>
      <c r="AW952" s="146"/>
      <c r="AX952" s="146"/>
      <c r="AY952" s="146"/>
      <c r="AZ952" s="145"/>
      <c r="BA952" s="146"/>
      <c r="BB952" s="145"/>
      <c r="BC952" s="145"/>
      <c r="BD952" s="145"/>
      <c r="BE952" s="145"/>
      <c r="BF952" s="145"/>
      <c r="BG952" s="145"/>
      <c r="BH952" s="145"/>
      <c r="BI952" s="145"/>
      <c r="BJ952" s="145"/>
      <c r="BK952" s="145"/>
    </row>
    <row r="953" spans="1:63" s="147" customFormat="1" ht="15" x14ac:dyDescent="0.25">
      <c r="A953" s="52"/>
      <c r="B953" s="53"/>
      <c r="C953" s="104" t="s">
        <v>57</v>
      </c>
      <c r="D953" s="104"/>
      <c r="E953" s="104"/>
      <c r="F953" s="104"/>
      <c r="G953" s="104"/>
      <c r="H953" s="54"/>
      <c r="I953" s="55"/>
      <c r="J953" s="55"/>
      <c r="K953" s="55"/>
      <c r="L953" s="56"/>
      <c r="M953" s="55"/>
      <c r="N953" s="56"/>
      <c r="O953" s="55"/>
      <c r="P953" s="77">
        <v>549.83799999999997</v>
      </c>
      <c r="Q953" s="82"/>
      <c r="R953" s="82"/>
      <c r="S953" s="82"/>
      <c r="T953" s="82"/>
      <c r="U953" s="170"/>
      <c r="V953" s="82"/>
      <c r="W953" s="160"/>
      <c r="X953" s="82"/>
      <c r="Y953" s="82"/>
      <c r="Z953" s="82"/>
      <c r="AA953" s="82"/>
      <c r="AB953" s="145"/>
      <c r="AC953" s="145"/>
      <c r="AD953" s="145"/>
      <c r="AE953" s="145"/>
      <c r="AF953" s="145"/>
      <c r="AG953" s="145"/>
      <c r="AH953" s="145"/>
      <c r="AI953" s="145"/>
      <c r="AJ953" s="145"/>
      <c r="AK953" s="145"/>
      <c r="AL953" s="145"/>
      <c r="AM953" s="145"/>
      <c r="AN953" s="145"/>
      <c r="AO953" s="145"/>
      <c r="AP953" s="145"/>
      <c r="AQ953" s="145"/>
      <c r="AR953" s="145"/>
      <c r="AS953" s="145"/>
      <c r="AT953" s="145"/>
      <c r="AU953" s="145"/>
      <c r="AV953" s="146"/>
      <c r="AW953" s="146"/>
      <c r="AX953" s="146"/>
      <c r="AY953" s="146"/>
      <c r="AZ953" s="145"/>
      <c r="BA953" s="146"/>
      <c r="BB953" s="145"/>
      <c r="BC953" s="145"/>
      <c r="BD953" s="145"/>
      <c r="BE953" s="145"/>
      <c r="BF953" s="145"/>
      <c r="BG953" s="145"/>
      <c r="BH953" s="145"/>
      <c r="BI953" s="145"/>
      <c r="BJ953" s="145"/>
      <c r="BK953" s="145"/>
    </row>
    <row r="954" spans="1:63" s="147" customFormat="1" ht="15" x14ac:dyDescent="0.25">
      <c r="A954" s="52"/>
      <c r="B954" s="53" t="s">
        <v>215</v>
      </c>
      <c r="C954" s="104" t="s">
        <v>216</v>
      </c>
      <c r="D954" s="104"/>
      <c r="E954" s="104"/>
      <c r="F954" s="104"/>
      <c r="G954" s="104"/>
      <c r="H954" s="54" t="s">
        <v>60</v>
      </c>
      <c r="I954" s="58">
        <v>121</v>
      </c>
      <c r="J954" s="55"/>
      <c r="K954" s="58">
        <v>121</v>
      </c>
      <c r="L954" s="56"/>
      <c r="M954" s="55"/>
      <c r="N954" s="56"/>
      <c r="O954" s="55"/>
      <c r="P954" s="77">
        <v>665.30949999999996</v>
      </c>
      <c r="Q954" s="82"/>
      <c r="R954" s="82"/>
      <c r="S954" s="82"/>
      <c r="T954" s="82"/>
      <c r="U954" s="170"/>
      <c r="V954" s="82"/>
      <c r="W954" s="164"/>
      <c r="X954" s="82"/>
      <c r="Y954" s="82"/>
      <c r="Z954" s="82"/>
      <c r="AA954" s="82"/>
      <c r="AB954" s="145"/>
      <c r="AC954" s="145"/>
      <c r="AD954" s="145"/>
      <c r="AE954" s="145"/>
      <c r="AF954" s="145"/>
      <c r="AG954" s="145"/>
      <c r="AH954" s="145"/>
      <c r="AI954" s="145"/>
      <c r="AJ954" s="145"/>
      <c r="AK954" s="145"/>
      <c r="AL954" s="145"/>
      <c r="AM954" s="145"/>
      <c r="AN954" s="145"/>
      <c r="AO954" s="145"/>
      <c r="AP954" s="145"/>
      <c r="AQ954" s="145"/>
      <c r="AR954" s="145"/>
      <c r="AS954" s="145"/>
      <c r="AT954" s="145"/>
      <c r="AU954" s="145"/>
      <c r="AV954" s="146"/>
      <c r="AW954" s="146"/>
      <c r="AX954" s="146"/>
      <c r="AY954" s="146"/>
      <c r="AZ954" s="145"/>
      <c r="BA954" s="146"/>
      <c r="BB954" s="145"/>
      <c r="BC954" s="145"/>
      <c r="BD954" s="145"/>
      <c r="BE954" s="145"/>
      <c r="BF954" s="145"/>
      <c r="BG954" s="145"/>
      <c r="BH954" s="145"/>
      <c r="BI954" s="145"/>
      <c r="BJ954" s="145"/>
      <c r="BK954" s="145"/>
    </row>
    <row r="955" spans="1:63" s="147" customFormat="1" ht="15" x14ac:dyDescent="0.25">
      <c r="A955" s="52"/>
      <c r="B955" s="53" t="s">
        <v>217</v>
      </c>
      <c r="C955" s="104" t="s">
        <v>218</v>
      </c>
      <c r="D955" s="104"/>
      <c r="E955" s="104"/>
      <c r="F955" s="104"/>
      <c r="G955" s="104"/>
      <c r="H955" s="54" t="s">
        <v>60</v>
      </c>
      <c r="I955" s="58">
        <v>72</v>
      </c>
      <c r="J955" s="55"/>
      <c r="K955" s="58">
        <v>72</v>
      </c>
      <c r="L955" s="56"/>
      <c r="M955" s="55"/>
      <c r="N955" s="56"/>
      <c r="O955" s="55"/>
      <c r="P955" s="77">
        <v>395.88749999999999</v>
      </c>
      <c r="Q955" s="82"/>
      <c r="R955" s="82"/>
      <c r="S955" s="82"/>
      <c r="T955" s="82"/>
      <c r="U955" s="170"/>
      <c r="V955" s="82"/>
      <c r="W955" s="164"/>
      <c r="X955" s="82"/>
      <c r="Y955" s="82"/>
      <c r="Z955" s="82"/>
      <c r="AA955" s="82"/>
      <c r="AB955" s="145"/>
      <c r="AC955" s="145"/>
      <c r="AD955" s="145"/>
      <c r="AE955" s="145"/>
      <c r="AF955" s="145"/>
      <c r="AG955" s="145"/>
      <c r="AH955" s="145"/>
      <c r="AI955" s="145"/>
      <c r="AJ955" s="145"/>
      <c r="AK955" s="145"/>
      <c r="AL955" s="145"/>
      <c r="AM955" s="145"/>
      <c r="AN955" s="145"/>
      <c r="AO955" s="145"/>
      <c r="AP955" s="145"/>
      <c r="AQ955" s="145"/>
      <c r="AR955" s="145"/>
      <c r="AS955" s="145"/>
      <c r="AT955" s="145"/>
      <c r="AU955" s="145"/>
      <c r="AV955" s="146"/>
      <c r="AW955" s="146"/>
      <c r="AX955" s="146"/>
      <c r="AY955" s="146"/>
      <c r="AZ955" s="145"/>
      <c r="BA955" s="146"/>
      <c r="BB955" s="145"/>
      <c r="BC955" s="145"/>
      <c r="BD955" s="145"/>
      <c r="BE955" s="145"/>
      <c r="BF955" s="145"/>
      <c r="BG955" s="145"/>
      <c r="BH955" s="145"/>
      <c r="BI955" s="145"/>
      <c r="BJ955" s="145"/>
      <c r="BK955" s="145"/>
    </row>
    <row r="956" spans="1:63" s="147" customFormat="1" ht="15" x14ac:dyDescent="0.25">
      <c r="A956" s="59"/>
      <c r="B956" s="98"/>
      <c r="C956" s="102" t="s">
        <v>63</v>
      </c>
      <c r="D956" s="102"/>
      <c r="E956" s="102"/>
      <c r="F956" s="102"/>
      <c r="G956" s="102"/>
      <c r="H956" s="41"/>
      <c r="I956" s="42"/>
      <c r="J956" s="42"/>
      <c r="K956" s="42"/>
      <c r="L956" s="45"/>
      <c r="M956" s="42"/>
      <c r="N956" s="49">
        <v>70486</v>
      </c>
      <c r="O956" s="42"/>
      <c r="P956" s="50">
        <v>1621.1779999999999</v>
      </c>
      <c r="Q956" s="82"/>
      <c r="R956" s="82"/>
      <c r="S956" s="82"/>
      <c r="T956" s="82"/>
      <c r="U956" s="156"/>
      <c r="V956" s="82"/>
      <c r="W956" s="151"/>
      <c r="X956" s="82"/>
      <c r="Y956" s="82"/>
      <c r="Z956" s="82"/>
      <c r="AA956" s="82"/>
      <c r="AB956" s="145"/>
      <c r="AC956" s="145"/>
      <c r="AD956" s="145"/>
      <c r="AE956" s="145"/>
      <c r="AF956" s="145"/>
      <c r="AG956" s="145"/>
      <c r="AH956" s="145"/>
      <c r="AI956" s="145"/>
      <c r="AJ956" s="145"/>
      <c r="AK956" s="145"/>
      <c r="AL956" s="145"/>
      <c r="AM956" s="145"/>
      <c r="AN956" s="145"/>
      <c r="AO956" s="145"/>
      <c r="AP956" s="145"/>
      <c r="AQ956" s="145"/>
      <c r="AR956" s="145"/>
      <c r="AS956" s="145"/>
      <c r="AT956" s="145"/>
      <c r="AU956" s="145"/>
      <c r="AV956" s="146"/>
      <c r="AW956" s="146"/>
      <c r="AX956" s="146"/>
      <c r="AY956" s="146"/>
      <c r="AZ956" s="145"/>
      <c r="BA956" s="146"/>
      <c r="BB956" s="145"/>
      <c r="BC956" s="145"/>
      <c r="BD956" s="145"/>
      <c r="BE956" s="145"/>
      <c r="BF956" s="145"/>
      <c r="BG956" s="145"/>
      <c r="BH956" s="145"/>
      <c r="BI956" s="145"/>
      <c r="BJ956" s="145"/>
      <c r="BK956" s="145"/>
    </row>
    <row r="957" spans="1:63" s="147" customFormat="1" ht="15" x14ac:dyDescent="0.25">
      <c r="A957" s="39" t="s">
        <v>750</v>
      </c>
      <c r="B957" s="97" t="s">
        <v>242</v>
      </c>
      <c r="C957" s="103" t="s">
        <v>243</v>
      </c>
      <c r="D957" s="103"/>
      <c r="E957" s="103"/>
      <c r="F957" s="103"/>
      <c r="G957" s="103"/>
      <c r="H957" s="41" t="s">
        <v>244</v>
      </c>
      <c r="I957" s="42">
        <v>1.996</v>
      </c>
      <c r="J957" s="43">
        <v>1</v>
      </c>
      <c r="K957" s="66">
        <v>1.996</v>
      </c>
      <c r="L957" s="61">
        <v>324.68</v>
      </c>
      <c r="M957" s="62">
        <v>1.01</v>
      </c>
      <c r="N957" s="61">
        <v>327.93</v>
      </c>
      <c r="O957" s="42"/>
      <c r="P957" s="50">
        <v>752.73249999999985</v>
      </c>
      <c r="Q957" s="82"/>
      <c r="R957" s="82"/>
      <c r="S957" s="82"/>
      <c r="T957" s="82"/>
      <c r="U957" s="167"/>
      <c r="V957" s="82"/>
      <c r="W957" s="171"/>
      <c r="X957" s="82"/>
      <c r="Y957" s="82"/>
      <c r="Z957" s="82"/>
      <c r="AA957" s="82"/>
      <c r="AB957" s="145"/>
      <c r="AC957" s="145"/>
      <c r="AD957" s="145"/>
      <c r="AE957" s="145"/>
      <c r="AF957" s="145"/>
      <c r="AG957" s="145"/>
      <c r="AH957" s="145"/>
      <c r="AI957" s="145"/>
      <c r="AJ957" s="145"/>
      <c r="AK957" s="145"/>
      <c r="AL957" s="145"/>
      <c r="AM957" s="145"/>
      <c r="AN957" s="145"/>
      <c r="AO957" s="145"/>
      <c r="AP957" s="145"/>
      <c r="AQ957" s="145"/>
      <c r="AR957" s="145"/>
      <c r="AS957" s="145"/>
      <c r="AT957" s="145"/>
      <c r="AU957" s="145"/>
      <c r="AV957" s="146"/>
      <c r="AW957" s="146"/>
      <c r="AX957" s="146"/>
      <c r="AY957" s="146"/>
      <c r="AZ957" s="145"/>
      <c r="BA957" s="146"/>
      <c r="BB957" s="145"/>
      <c r="BC957" s="145"/>
      <c r="BD957" s="145"/>
      <c r="BE957" s="145"/>
      <c r="BF957" s="145"/>
      <c r="BG957" s="145"/>
      <c r="BH957" s="145"/>
      <c r="BI957" s="145"/>
      <c r="BJ957" s="145"/>
      <c r="BK957" s="145"/>
    </row>
    <row r="958" spans="1:63" s="147" customFormat="1" ht="15" x14ac:dyDescent="0.25">
      <c r="A958" s="59"/>
      <c r="B958" s="98"/>
      <c r="C958" s="102" t="s">
        <v>63</v>
      </c>
      <c r="D958" s="102"/>
      <c r="E958" s="102"/>
      <c r="F958" s="102"/>
      <c r="G958" s="102"/>
      <c r="H958" s="41"/>
      <c r="I958" s="42"/>
      <c r="J958" s="42"/>
      <c r="K958" s="42"/>
      <c r="L958" s="45"/>
      <c r="M958" s="42"/>
      <c r="N958" s="45"/>
      <c r="O958" s="42"/>
      <c r="P958" s="50">
        <v>752.73249999999985</v>
      </c>
      <c r="Q958" s="82"/>
      <c r="R958" s="82"/>
      <c r="S958" s="82"/>
      <c r="T958" s="82"/>
      <c r="U958" s="167"/>
      <c r="V958" s="82"/>
      <c r="W958" s="151"/>
      <c r="X958" s="82"/>
      <c r="Y958" s="82"/>
      <c r="Z958" s="82"/>
      <c r="AA958" s="82"/>
      <c r="AB958" s="145"/>
      <c r="AC958" s="145"/>
      <c r="AD958" s="145"/>
      <c r="AE958" s="145"/>
      <c r="AF958" s="145"/>
      <c r="AG958" s="145"/>
      <c r="AH958" s="145"/>
      <c r="AI958" s="145"/>
      <c r="AJ958" s="145"/>
      <c r="AK958" s="145"/>
      <c r="AL958" s="145"/>
      <c r="AM958" s="145"/>
      <c r="AN958" s="145"/>
      <c r="AO958" s="145"/>
      <c r="AP958" s="145"/>
      <c r="AQ958" s="145"/>
      <c r="AR958" s="145"/>
      <c r="AS958" s="145"/>
      <c r="AT958" s="145"/>
      <c r="AU958" s="145"/>
      <c r="AV958" s="146"/>
      <c r="AW958" s="146"/>
      <c r="AX958" s="146"/>
      <c r="AY958" s="146"/>
      <c r="AZ958" s="145"/>
      <c r="BA958" s="146"/>
      <c r="BB958" s="145"/>
      <c r="BC958" s="145"/>
      <c r="BD958" s="145"/>
      <c r="BE958" s="145"/>
      <c r="BF958" s="145"/>
      <c r="BG958" s="145"/>
      <c r="BH958" s="145"/>
      <c r="BI958" s="145"/>
      <c r="BJ958" s="145"/>
      <c r="BK958" s="145"/>
    </row>
    <row r="959" spans="1:63" s="147" customFormat="1" ht="15" x14ac:dyDescent="0.25">
      <c r="A959" s="39" t="s">
        <v>751</v>
      </c>
      <c r="B959" s="97" t="s">
        <v>246</v>
      </c>
      <c r="C959" s="103" t="s">
        <v>247</v>
      </c>
      <c r="D959" s="103"/>
      <c r="E959" s="103"/>
      <c r="F959" s="103"/>
      <c r="G959" s="103"/>
      <c r="H959" s="41" t="s">
        <v>83</v>
      </c>
      <c r="I959" s="42">
        <v>1</v>
      </c>
      <c r="J959" s="43">
        <v>1</v>
      </c>
      <c r="K959" s="43">
        <v>1</v>
      </c>
      <c r="L959" s="61">
        <v>111.78</v>
      </c>
      <c r="M959" s="62">
        <v>1.01</v>
      </c>
      <c r="N959" s="61">
        <v>112.9</v>
      </c>
      <c r="O959" s="42"/>
      <c r="P959" s="50">
        <v>129.83500000000001</v>
      </c>
      <c r="Q959" s="82"/>
      <c r="R959" s="82"/>
      <c r="S959" s="82"/>
      <c r="T959" s="82"/>
      <c r="U959" s="167"/>
      <c r="V959" s="82"/>
      <c r="W959" s="152"/>
      <c r="X959" s="82"/>
      <c r="Y959" s="82"/>
      <c r="Z959" s="82"/>
      <c r="AA959" s="82"/>
      <c r="AB959" s="145"/>
      <c r="AC959" s="145"/>
      <c r="AD959" s="145"/>
      <c r="AE959" s="145"/>
      <c r="AF959" s="145"/>
      <c r="AG959" s="145"/>
      <c r="AH959" s="145"/>
      <c r="AI959" s="145"/>
      <c r="AJ959" s="145"/>
      <c r="AK959" s="145"/>
      <c r="AL959" s="145"/>
      <c r="AM959" s="145"/>
      <c r="AN959" s="145"/>
      <c r="AO959" s="145"/>
      <c r="AP959" s="145"/>
      <c r="AQ959" s="145"/>
      <c r="AR959" s="145"/>
      <c r="AS959" s="145"/>
      <c r="AT959" s="145"/>
      <c r="AU959" s="145"/>
      <c r="AV959" s="146"/>
      <c r="AW959" s="146"/>
      <c r="AX959" s="146"/>
      <c r="AY959" s="146"/>
      <c r="AZ959" s="145"/>
      <c r="BA959" s="146"/>
      <c r="BB959" s="145"/>
      <c r="BC959" s="145"/>
      <c r="BD959" s="145"/>
      <c r="BE959" s="145"/>
      <c r="BF959" s="145"/>
      <c r="BG959" s="145"/>
      <c r="BH959" s="145"/>
      <c r="BI959" s="145"/>
      <c r="BJ959" s="145"/>
      <c r="BK959" s="145"/>
    </row>
    <row r="960" spans="1:63" s="147" customFormat="1" ht="15" x14ac:dyDescent="0.25">
      <c r="A960" s="59"/>
      <c r="B960" s="98"/>
      <c r="C960" s="102" t="s">
        <v>63</v>
      </c>
      <c r="D960" s="102"/>
      <c r="E960" s="102"/>
      <c r="F960" s="102"/>
      <c r="G960" s="102"/>
      <c r="H960" s="41"/>
      <c r="I960" s="42"/>
      <c r="J960" s="42"/>
      <c r="K960" s="42"/>
      <c r="L960" s="45"/>
      <c r="M960" s="42"/>
      <c r="N960" s="45"/>
      <c r="O960" s="42"/>
      <c r="P960" s="50">
        <v>129.83500000000001</v>
      </c>
      <c r="Q960" s="82"/>
      <c r="R960" s="82"/>
      <c r="S960" s="82"/>
      <c r="T960" s="82"/>
      <c r="U960" s="167"/>
      <c r="V960" s="82"/>
      <c r="W960" s="151"/>
      <c r="X960" s="82"/>
      <c r="Y960" s="82"/>
      <c r="Z960" s="82"/>
      <c r="AA960" s="82"/>
      <c r="AB960" s="145"/>
      <c r="AC960" s="145"/>
      <c r="AD960" s="145"/>
      <c r="AE960" s="145"/>
      <c r="AF960" s="145"/>
      <c r="AG960" s="145"/>
      <c r="AH960" s="145"/>
      <c r="AI960" s="145"/>
      <c r="AJ960" s="145"/>
      <c r="AK960" s="145"/>
      <c r="AL960" s="145"/>
      <c r="AM960" s="145"/>
      <c r="AN960" s="145"/>
      <c r="AO960" s="145"/>
      <c r="AP960" s="145"/>
      <c r="AQ960" s="145"/>
      <c r="AR960" s="145"/>
      <c r="AS960" s="145"/>
      <c r="AT960" s="145"/>
      <c r="AU960" s="145"/>
      <c r="AV960" s="146"/>
      <c r="AW960" s="146"/>
      <c r="AX960" s="146"/>
      <c r="AY960" s="146"/>
      <c r="AZ960" s="145"/>
      <c r="BA960" s="146"/>
      <c r="BB960" s="145"/>
      <c r="BC960" s="145"/>
      <c r="BD960" s="145"/>
      <c r="BE960" s="145"/>
      <c r="BF960" s="145"/>
      <c r="BG960" s="145"/>
      <c r="BH960" s="145"/>
      <c r="BI960" s="145"/>
      <c r="BJ960" s="145"/>
      <c r="BK960" s="145"/>
    </row>
    <row r="961" spans="1:63" s="147" customFormat="1" ht="15" x14ac:dyDescent="0.25">
      <c r="A961" s="39" t="s">
        <v>752</v>
      </c>
      <c r="B961" s="97" t="s">
        <v>249</v>
      </c>
      <c r="C961" s="103" t="s">
        <v>250</v>
      </c>
      <c r="D961" s="103"/>
      <c r="E961" s="103"/>
      <c r="F961" s="103"/>
      <c r="G961" s="103"/>
      <c r="H961" s="41" t="s">
        <v>83</v>
      </c>
      <c r="I961" s="42">
        <v>1</v>
      </c>
      <c r="J961" s="43">
        <v>1</v>
      </c>
      <c r="K961" s="43">
        <v>1</v>
      </c>
      <c r="L961" s="61">
        <v>69.52</v>
      </c>
      <c r="M961" s="62">
        <v>1.01</v>
      </c>
      <c r="N961" s="61">
        <v>70.22</v>
      </c>
      <c r="O961" s="42"/>
      <c r="P961" s="50">
        <v>80.752999999999986</v>
      </c>
      <c r="Q961" s="82"/>
      <c r="R961" s="82"/>
      <c r="S961" s="82"/>
      <c r="T961" s="82"/>
      <c r="U961" s="167"/>
      <c r="V961" s="82"/>
      <c r="W961" s="152"/>
      <c r="X961" s="82"/>
      <c r="Y961" s="82"/>
      <c r="Z961" s="82"/>
      <c r="AA961" s="82"/>
      <c r="AB961" s="145"/>
      <c r="AC961" s="145"/>
      <c r="AD961" s="145"/>
      <c r="AE961" s="145"/>
      <c r="AF961" s="145"/>
      <c r="AG961" s="145"/>
      <c r="AH961" s="145"/>
      <c r="AI961" s="145"/>
      <c r="AJ961" s="145"/>
      <c r="AK961" s="145"/>
      <c r="AL961" s="145"/>
      <c r="AM961" s="145"/>
      <c r="AN961" s="145"/>
      <c r="AO961" s="145"/>
      <c r="AP961" s="145"/>
      <c r="AQ961" s="145"/>
      <c r="AR961" s="145"/>
      <c r="AS961" s="145"/>
      <c r="AT961" s="145"/>
      <c r="AU961" s="145"/>
      <c r="AV961" s="146"/>
      <c r="AW961" s="146"/>
      <c r="AX961" s="146"/>
      <c r="AY961" s="146"/>
      <c r="AZ961" s="145"/>
      <c r="BA961" s="146"/>
      <c r="BB961" s="145"/>
      <c r="BC961" s="145"/>
      <c r="BD961" s="145"/>
      <c r="BE961" s="145"/>
      <c r="BF961" s="145"/>
      <c r="BG961" s="145"/>
      <c r="BH961" s="145"/>
      <c r="BI961" s="145"/>
      <c r="BJ961" s="145"/>
      <c r="BK961" s="145"/>
    </row>
    <row r="962" spans="1:63" s="147" customFormat="1" ht="15" x14ac:dyDescent="0.25">
      <c r="A962" s="59"/>
      <c r="B962" s="98"/>
      <c r="C962" s="102" t="s">
        <v>63</v>
      </c>
      <c r="D962" s="102"/>
      <c r="E962" s="102"/>
      <c r="F962" s="102"/>
      <c r="G962" s="102"/>
      <c r="H962" s="41"/>
      <c r="I962" s="42"/>
      <c r="J962" s="42"/>
      <c r="K962" s="42"/>
      <c r="L962" s="45"/>
      <c r="M962" s="42"/>
      <c r="N962" s="45"/>
      <c r="O962" s="42"/>
      <c r="P962" s="50">
        <v>80.752999999999986</v>
      </c>
      <c r="Q962" s="82"/>
      <c r="R962" s="82"/>
      <c r="S962" s="82"/>
      <c r="T962" s="82"/>
      <c r="U962" s="167"/>
      <c r="V962" s="82"/>
      <c r="W962" s="151"/>
      <c r="X962" s="82"/>
      <c r="Y962" s="82"/>
      <c r="Z962" s="82"/>
      <c r="AA962" s="82"/>
      <c r="AB962" s="145"/>
      <c r="AC962" s="145"/>
      <c r="AD962" s="145"/>
      <c r="AE962" s="145"/>
      <c r="AF962" s="145"/>
      <c r="AG962" s="145"/>
      <c r="AH962" s="145"/>
      <c r="AI962" s="145"/>
      <c r="AJ962" s="145"/>
      <c r="AK962" s="145"/>
      <c r="AL962" s="145"/>
      <c r="AM962" s="145"/>
      <c r="AN962" s="145"/>
      <c r="AO962" s="145"/>
      <c r="AP962" s="145"/>
      <c r="AQ962" s="145"/>
      <c r="AR962" s="145"/>
      <c r="AS962" s="145"/>
      <c r="AT962" s="145"/>
      <c r="AU962" s="145"/>
      <c r="AV962" s="146"/>
      <c r="AW962" s="146"/>
      <c r="AX962" s="146"/>
      <c r="AY962" s="146"/>
      <c r="AZ962" s="145"/>
      <c r="BA962" s="146"/>
      <c r="BB962" s="145"/>
      <c r="BC962" s="145"/>
      <c r="BD962" s="145"/>
      <c r="BE962" s="145"/>
      <c r="BF962" s="145"/>
      <c r="BG962" s="145"/>
      <c r="BH962" s="145"/>
      <c r="BI962" s="145"/>
      <c r="BJ962" s="145"/>
      <c r="BK962" s="145"/>
    </row>
    <row r="963" spans="1:63" s="147" customFormat="1" ht="15" x14ac:dyDescent="0.25">
      <c r="A963" s="39" t="s">
        <v>753</v>
      </c>
      <c r="B963" s="97" t="s">
        <v>252</v>
      </c>
      <c r="C963" s="103" t="s">
        <v>253</v>
      </c>
      <c r="D963" s="103"/>
      <c r="E963" s="103"/>
      <c r="F963" s="103"/>
      <c r="G963" s="103"/>
      <c r="H963" s="41" t="s">
        <v>125</v>
      </c>
      <c r="I963" s="42">
        <v>0.01</v>
      </c>
      <c r="J963" s="43">
        <v>1</v>
      </c>
      <c r="K963" s="62">
        <v>0.01</v>
      </c>
      <c r="L963" s="45"/>
      <c r="M963" s="42"/>
      <c r="N963" s="45"/>
      <c r="O963" s="42"/>
      <c r="P963" s="50">
        <v>0</v>
      </c>
      <c r="Q963" s="82"/>
      <c r="R963" s="82"/>
      <c r="S963" s="82"/>
      <c r="T963" s="82"/>
      <c r="U963" s="153"/>
      <c r="V963" s="82"/>
      <c r="W963" s="168"/>
      <c r="X963" s="82"/>
      <c r="Y963" s="82"/>
      <c r="Z963" s="82"/>
      <c r="AA963" s="82"/>
      <c r="AB963" s="145"/>
      <c r="AC963" s="145"/>
      <c r="AD963" s="145"/>
      <c r="AE963" s="145"/>
      <c r="AF963" s="145"/>
      <c r="AG963" s="145"/>
      <c r="AH963" s="145"/>
      <c r="AI963" s="145"/>
      <c r="AJ963" s="145"/>
      <c r="AK963" s="145"/>
      <c r="AL963" s="145"/>
      <c r="AM963" s="145"/>
      <c r="AN963" s="145"/>
      <c r="AO963" s="145"/>
      <c r="AP963" s="145"/>
      <c r="AQ963" s="145"/>
      <c r="AR963" s="145"/>
      <c r="AS963" s="145"/>
      <c r="AT963" s="145"/>
      <c r="AU963" s="145"/>
      <c r="AV963" s="146"/>
      <c r="AW963" s="146"/>
      <c r="AX963" s="146"/>
      <c r="AY963" s="146"/>
      <c r="AZ963" s="145"/>
      <c r="BA963" s="146"/>
      <c r="BB963" s="145"/>
      <c r="BC963" s="145"/>
      <c r="BD963" s="145"/>
      <c r="BE963" s="145"/>
      <c r="BF963" s="145"/>
      <c r="BG963" s="145"/>
      <c r="BH963" s="145"/>
      <c r="BI963" s="145"/>
      <c r="BJ963" s="145"/>
      <c r="BK963" s="145"/>
    </row>
    <row r="964" spans="1:63" s="147" customFormat="1" ht="15" x14ac:dyDescent="0.25">
      <c r="A964" s="47"/>
      <c r="B964" s="48"/>
      <c r="C964" s="102" t="s">
        <v>56</v>
      </c>
      <c r="D964" s="102"/>
      <c r="E964" s="102"/>
      <c r="F964" s="102"/>
      <c r="G964" s="102"/>
      <c r="H964" s="41"/>
      <c r="I964" s="42"/>
      <c r="J964" s="42"/>
      <c r="K964" s="42"/>
      <c r="L964" s="45"/>
      <c r="M964" s="42"/>
      <c r="N964" s="49"/>
      <c r="O964" s="42"/>
      <c r="P964" s="50">
        <v>288.6155</v>
      </c>
      <c r="Q964" s="157"/>
      <c r="R964" s="157"/>
      <c r="S964" s="82"/>
      <c r="T964" s="82"/>
      <c r="U964" s="156"/>
      <c r="V964" s="82"/>
      <c r="W964" s="151"/>
      <c r="X964" s="82"/>
      <c r="Y964" s="82"/>
      <c r="Z964" s="82"/>
      <c r="AA964" s="82"/>
      <c r="AB964" s="145"/>
      <c r="AC964" s="145"/>
      <c r="AD964" s="145"/>
      <c r="AE964" s="145"/>
      <c r="AF964" s="145"/>
      <c r="AG964" s="145"/>
      <c r="AH964" s="145"/>
      <c r="AI964" s="145"/>
      <c r="AJ964" s="145"/>
      <c r="AK964" s="145"/>
      <c r="AL964" s="145"/>
      <c r="AM964" s="145"/>
      <c r="AN964" s="145"/>
      <c r="AO964" s="145"/>
      <c r="AP964" s="145"/>
      <c r="AQ964" s="145"/>
      <c r="AR964" s="145"/>
      <c r="AS964" s="145"/>
      <c r="AT964" s="145"/>
      <c r="AU964" s="145"/>
      <c r="AV964" s="146"/>
      <c r="AW964" s="146"/>
      <c r="AX964" s="146"/>
      <c r="AY964" s="146"/>
      <c r="AZ964" s="145"/>
      <c r="BA964" s="146"/>
      <c r="BB964" s="145"/>
      <c r="BC964" s="145"/>
      <c r="BD964" s="145"/>
      <c r="BE964" s="145"/>
      <c r="BF964" s="145"/>
      <c r="BG964" s="145"/>
      <c r="BH964" s="145"/>
      <c r="BI964" s="145"/>
      <c r="BJ964" s="145"/>
      <c r="BK964" s="145"/>
    </row>
    <row r="965" spans="1:63" s="147" customFormat="1" ht="15" x14ac:dyDescent="0.25">
      <c r="A965" s="52"/>
      <c r="B965" s="53"/>
      <c r="C965" s="104" t="s">
        <v>57</v>
      </c>
      <c r="D965" s="104"/>
      <c r="E965" s="104"/>
      <c r="F965" s="104"/>
      <c r="G965" s="104"/>
      <c r="H965" s="54"/>
      <c r="I965" s="55"/>
      <c r="J965" s="55"/>
      <c r="K965" s="55"/>
      <c r="L965" s="56"/>
      <c r="M965" s="55"/>
      <c r="N965" s="56"/>
      <c r="O965" s="55"/>
      <c r="P965" s="77">
        <v>286.45349999999996</v>
      </c>
      <c r="Q965" s="82"/>
      <c r="R965" s="82"/>
      <c r="S965" s="82"/>
      <c r="T965" s="82"/>
      <c r="U965" s="170"/>
      <c r="V965" s="82"/>
      <c r="W965" s="160"/>
      <c r="X965" s="82"/>
      <c r="Y965" s="82"/>
      <c r="Z965" s="82"/>
      <c r="AA965" s="82"/>
      <c r="AB965" s="145"/>
      <c r="AC965" s="145"/>
      <c r="AD965" s="145"/>
      <c r="AE965" s="145"/>
      <c r="AF965" s="145"/>
      <c r="AG965" s="145"/>
      <c r="AH965" s="145"/>
      <c r="AI965" s="145"/>
      <c r="AJ965" s="145"/>
      <c r="AK965" s="145"/>
      <c r="AL965" s="145"/>
      <c r="AM965" s="145"/>
      <c r="AN965" s="145"/>
      <c r="AO965" s="145"/>
      <c r="AP965" s="145"/>
      <c r="AQ965" s="145"/>
      <c r="AR965" s="145"/>
      <c r="AS965" s="145"/>
      <c r="AT965" s="145"/>
      <c r="AU965" s="145"/>
      <c r="AV965" s="146"/>
      <c r="AW965" s="146"/>
      <c r="AX965" s="146"/>
      <c r="AY965" s="146"/>
      <c r="AZ965" s="145"/>
      <c r="BA965" s="146"/>
      <c r="BB965" s="145"/>
      <c r="BC965" s="145"/>
      <c r="BD965" s="145"/>
      <c r="BE965" s="145"/>
      <c r="BF965" s="145"/>
      <c r="BG965" s="145"/>
      <c r="BH965" s="145"/>
      <c r="BI965" s="145"/>
      <c r="BJ965" s="145"/>
      <c r="BK965" s="145"/>
    </row>
    <row r="966" spans="1:63" s="147" customFormat="1" ht="15" x14ac:dyDescent="0.25">
      <c r="A966" s="52"/>
      <c r="B966" s="53" t="s">
        <v>215</v>
      </c>
      <c r="C966" s="104" t="s">
        <v>216</v>
      </c>
      <c r="D966" s="104"/>
      <c r="E966" s="104"/>
      <c r="F966" s="104"/>
      <c r="G966" s="104"/>
      <c r="H966" s="54" t="s">
        <v>60</v>
      </c>
      <c r="I966" s="58">
        <v>121</v>
      </c>
      <c r="J966" s="55"/>
      <c r="K966" s="58">
        <v>121</v>
      </c>
      <c r="L966" s="56"/>
      <c r="M966" s="55"/>
      <c r="N966" s="56"/>
      <c r="O966" s="55"/>
      <c r="P966" s="77">
        <v>346.60999999999996</v>
      </c>
      <c r="Q966" s="82"/>
      <c r="R966" s="82"/>
      <c r="S966" s="82"/>
      <c r="T966" s="82"/>
      <c r="U966" s="170"/>
      <c r="V966" s="82"/>
      <c r="W966" s="164"/>
      <c r="X966" s="82"/>
      <c r="Y966" s="82"/>
      <c r="Z966" s="82"/>
      <c r="AA966" s="82"/>
      <c r="AB966" s="145"/>
      <c r="AC966" s="145"/>
      <c r="AD966" s="145"/>
      <c r="AE966" s="145"/>
      <c r="AF966" s="145"/>
      <c r="AG966" s="145"/>
      <c r="AH966" s="145"/>
      <c r="AI966" s="145"/>
      <c r="AJ966" s="145"/>
      <c r="AK966" s="145"/>
      <c r="AL966" s="145"/>
      <c r="AM966" s="145"/>
      <c r="AN966" s="145"/>
      <c r="AO966" s="145"/>
      <c r="AP966" s="145"/>
      <c r="AQ966" s="145"/>
      <c r="AR966" s="145"/>
      <c r="AS966" s="145"/>
      <c r="AT966" s="145"/>
      <c r="AU966" s="145"/>
      <c r="AV966" s="146"/>
      <c r="AW966" s="146"/>
      <c r="AX966" s="146"/>
      <c r="AY966" s="146"/>
      <c r="AZ966" s="145"/>
      <c r="BA966" s="146"/>
      <c r="BB966" s="145"/>
      <c r="BC966" s="145"/>
      <c r="BD966" s="145"/>
      <c r="BE966" s="145"/>
      <c r="BF966" s="145"/>
      <c r="BG966" s="145"/>
      <c r="BH966" s="145"/>
      <c r="BI966" s="145"/>
      <c r="BJ966" s="145"/>
      <c r="BK966" s="145"/>
    </row>
    <row r="967" spans="1:63" s="147" customFormat="1" ht="15" x14ac:dyDescent="0.25">
      <c r="A967" s="52"/>
      <c r="B967" s="53" t="s">
        <v>217</v>
      </c>
      <c r="C967" s="104" t="s">
        <v>218</v>
      </c>
      <c r="D967" s="104"/>
      <c r="E967" s="104"/>
      <c r="F967" s="104"/>
      <c r="G967" s="104"/>
      <c r="H967" s="54" t="s">
        <v>60</v>
      </c>
      <c r="I967" s="58">
        <v>72</v>
      </c>
      <c r="J967" s="55"/>
      <c r="K967" s="58">
        <v>72</v>
      </c>
      <c r="L967" s="56"/>
      <c r="M967" s="55"/>
      <c r="N967" s="56"/>
      <c r="O967" s="55"/>
      <c r="P967" s="77">
        <v>206.24099999999999</v>
      </c>
      <c r="Q967" s="82"/>
      <c r="R967" s="82"/>
      <c r="S967" s="82"/>
      <c r="T967" s="82"/>
      <c r="U967" s="170"/>
      <c r="V967" s="82"/>
      <c r="W967" s="164"/>
      <c r="X967" s="82"/>
      <c r="Y967" s="82"/>
      <c r="Z967" s="82"/>
      <c r="AA967" s="82"/>
      <c r="AB967" s="145"/>
      <c r="AC967" s="145"/>
      <c r="AD967" s="145"/>
      <c r="AE967" s="145"/>
      <c r="AF967" s="145"/>
      <c r="AG967" s="145"/>
      <c r="AH967" s="145"/>
      <c r="AI967" s="145"/>
      <c r="AJ967" s="145"/>
      <c r="AK967" s="145"/>
      <c r="AL967" s="145"/>
      <c r="AM967" s="145"/>
      <c r="AN967" s="145"/>
      <c r="AO967" s="145"/>
      <c r="AP967" s="145"/>
      <c r="AQ967" s="145"/>
      <c r="AR967" s="145"/>
      <c r="AS967" s="145"/>
      <c r="AT967" s="145"/>
      <c r="AU967" s="145"/>
      <c r="AV967" s="146"/>
      <c r="AW967" s="146"/>
      <c r="AX967" s="146"/>
      <c r="AY967" s="146"/>
      <c r="AZ967" s="145"/>
      <c r="BA967" s="146"/>
      <c r="BB967" s="145"/>
      <c r="BC967" s="145"/>
      <c r="BD967" s="145"/>
      <c r="BE967" s="145"/>
      <c r="BF967" s="145"/>
      <c r="BG967" s="145"/>
      <c r="BH967" s="145"/>
      <c r="BI967" s="145"/>
      <c r="BJ967" s="145"/>
      <c r="BK967" s="145"/>
    </row>
    <row r="968" spans="1:63" s="147" customFormat="1" ht="15" x14ac:dyDescent="0.25">
      <c r="A968" s="59"/>
      <c r="B968" s="98"/>
      <c r="C968" s="102" t="s">
        <v>63</v>
      </c>
      <c r="D968" s="102"/>
      <c r="E968" s="102"/>
      <c r="F968" s="102"/>
      <c r="G968" s="102"/>
      <c r="H968" s="41"/>
      <c r="I968" s="42"/>
      <c r="J968" s="42"/>
      <c r="K968" s="42"/>
      <c r="L968" s="45"/>
      <c r="M968" s="42"/>
      <c r="N968" s="49">
        <v>73171</v>
      </c>
      <c r="O968" s="42"/>
      <c r="P968" s="50">
        <v>841.4665</v>
      </c>
      <c r="Q968" s="82"/>
      <c r="R968" s="82"/>
      <c r="S968" s="82"/>
      <c r="T968" s="82"/>
      <c r="U968" s="167"/>
      <c r="V968" s="82"/>
      <c r="W968" s="151"/>
      <c r="X968" s="82"/>
      <c r="Y968" s="82"/>
      <c r="Z968" s="82"/>
      <c r="AA968" s="82"/>
      <c r="AB968" s="145"/>
      <c r="AC968" s="145"/>
      <c r="AD968" s="145"/>
      <c r="AE968" s="145"/>
      <c r="AF968" s="145"/>
      <c r="AG968" s="145"/>
      <c r="AH968" s="145"/>
      <c r="AI968" s="145"/>
      <c r="AJ968" s="145"/>
      <c r="AK968" s="145"/>
      <c r="AL968" s="145"/>
      <c r="AM968" s="145"/>
      <c r="AN968" s="145"/>
      <c r="AO968" s="145"/>
      <c r="AP968" s="145"/>
      <c r="AQ968" s="145"/>
      <c r="AR968" s="145"/>
      <c r="AS968" s="145"/>
      <c r="AT968" s="145"/>
      <c r="AU968" s="145"/>
      <c r="AV968" s="146"/>
      <c r="AW968" s="146"/>
      <c r="AX968" s="146"/>
      <c r="AY968" s="146"/>
      <c r="AZ968" s="145"/>
      <c r="BA968" s="146"/>
      <c r="BB968" s="145"/>
      <c r="BC968" s="145"/>
      <c r="BD968" s="145"/>
      <c r="BE968" s="145"/>
      <c r="BF968" s="145"/>
      <c r="BG968" s="145"/>
      <c r="BH968" s="145"/>
      <c r="BI968" s="145"/>
      <c r="BJ968" s="145"/>
      <c r="BK968" s="145"/>
    </row>
    <row r="969" spans="1:63" s="147" customFormat="1" ht="15" x14ac:dyDescent="0.25">
      <c r="A969" s="39" t="s">
        <v>754</v>
      </c>
      <c r="B969" s="97" t="s">
        <v>255</v>
      </c>
      <c r="C969" s="103" t="s">
        <v>256</v>
      </c>
      <c r="D969" s="103"/>
      <c r="E969" s="103"/>
      <c r="F969" s="103"/>
      <c r="G969" s="103"/>
      <c r="H969" s="41" t="s">
        <v>244</v>
      </c>
      <c r="I969" s="42">
        <v>0.998</v>
      </c>
      <c r="J969" s="43">
        <v>1</v>
      </c>
      <c r="K969" s="66">
        <v>0.998</v>
      </c>
      <c r="L969" s="61">
        <v>134</v>
      </c>
      <c r="M969" s="62">
        <v>1.01</v>
      </c>
      <c r="N969" s="61">
        <v>135.34</v>
      </c>
      <c r="O969" s="42"/>
      <c r="P969" s="50">
        <v>155.33049999999997</v>
      </c>
      <c r="Q969" s="82"/>
      <c r="R969" s="82"/>
      <c r="S969" s="82"/>
      <c r="T969" s="82"/>
      <c r="U969" s="167"/>
      <c r="V969" s="82"/>
      <c r="W969" s="171"/>
      <c r="X969" s="82"/>
      <c r="Y969" s="82"/>
      <c r="Z969" s="82"/>
      <c r="AA969" s="82"/>
      <c r="AB969" s="145"/>
      <c r="AC969" s="145"/>
      <c r="AD969" s="145"/>
      <c r="AE969" s="145"/>
      <c r="AF969" s="145"/>
      <c r="AG969" s="145"/>
      <c r="AH969" s="145"/>
      <c r="AI969" s="145"/>
      <c r="AJ969" s="145"/>
      <c r="AK969" s="145"/>
      <c r="AL969" s="145"/>
      <c r="AM969" s="145"/>
      <c r="AN969" s="145"/>
      <c r="AO969" s="145"/>
      <c r="AP969" s="145"/>
      <c r="AQ969" s="145"/>
      <c r="AR969" s="145"/>
      <c r="AS969" s="145"/>
      <c r="AT969" s="145"/>
      <c r="AU969" s="145"/>
      <c r="AV969" s="146"/>
      <c r="AW969" s="146"/>
      <c r="AX969" s="146"/>
      <c r="AY969" s="146"/>
      <c r="AZ969" s="145"/>
      <c r="BA969" s="146"/>
      <c r="BB969" s="145"/>
      <c r="BC969" s="145"/>
      <c r="BD969" s="145"/>
      <c r="BE969" s="145"/>
      <c r="BF969" s="145"/>
      <c r="BG969" s="145"/>
      <c r="BH969" s="145"/>
      <c r="BI969" s="145"/>
      <c r="BJ969" s="145"/>
      <c r="BK969" s="145"/>
    </row>
    <row r="970" spans="1:63" s="147" customFormat="1" ht="15" x14ac:dyDescent="0.25">
      <c r="A970" s="59"/>
      <c r="B970" s="98"/>
      <c r="C970" s="102" t="s">
        <v>63</v>
      </c>
      <c r="D970" s="102"/>
      <c r="E970" s="102"/>
      <c r="F970" s="102"/>
      <c r="G970" s="102"/>
      <c r="H970" s="41"/>
      <c r="I970" s="42"/>
      <c r="J970" s="42"/>
      <c r="K970" s="42"/>
      <c r="L970" s="45"/>
      <c r="M970" s="42"/>
      <c r="N970" s="45"/>
      <c r="O970" s="42"/>
      <c r="P970" s="50">
        <v>155.33049999999997</v>
      </c>
      <c r="Q970" s="82"/>
      <c r="R970" s="82"/>
      <c r="S970" s="82"/>
      <c r="T970" s="82"/>
      <c r="U970" s="167"/>
      <c r="V970" s="82"/>
      <c r="W970" s="151"/>
      <c r="X970" s="82"/>
      <c r="Y970" s="82"/>
      <c r="Z970" s="82"/>
      <c r="AA970" s="82"/>
      <c r="AB970" s="145"/>
      <c r="AC970" s="145"/>
      <c r="AD970" s="145"/>
      <c r="AE970" s="145"/>
      <c r="AF970" s="145"/>
      <c r="AG970" s="145"/>
      <c r="AH970" s="145"/>
      <c r="AI970" s="145"/>
      <c r="AJ970" s="145"/>
      <c r="AK970" s="145"/>
      <c r="AL970" s="145"/>
      <c r="AM970" s="145"/>
      <c r="AN970" s="145"/>
      <c r="AO970" s="145"/>
      <c r="AP970" s="145"/>
      <c r="AQ970" s="145"/>
      <c r="AR970" s="145"/>
      <c r="AS970" s="145"/>
      <c r="AT970" s="145"/>
      <c r="AU970" s="145"/>
      <c r="AV970" s="146"/>
      <c r="AW970" s="146"/>
      <c r="AX970" s="146"/>
      <c r="AY970" s="146"/>
      <c r="AZ970" s="145"/>
      <c r="BA970" s="146"/>
      <c r="BB970" s="145"/>
      <c r="BC970" s="145"/>
      <c r="BD970" s="145"/>
      <c r="BE970" s="145"/>
      <c r="BF970" s="145"/>
      <c r="BG970" s="145"/>
      <c r="BH970" s="145"/>
      <c r="BI970" s="145"/>
      <c r="BJ970" s="145"/>
      <c r="BK970" s="145"/>
    </row>
    <row r="971" spans="1:63" s="147" customFormat="1" ht="15" x14ac:dyDescent="0.25">
      <c r="A971" s="39" t="s">
        <v>755</v>
      </c>
      <c r="B971" s="97" t="s">
        <v>258</v>
      </c>
      <c r="C971" s="103" t="s">
        <v>259</v>
      </c>
      <c r="D971" s="103"/>
      <c r="E971" s="103"/>
      <c r="F971" s="103"/>
      <c r="G971" s="103"/>
      <c r="H971" s="41" t="s">
        <v>83</v>
      </c>
      <c r="I971" s="42">
        <v>1</v>
      </c>
      <c r="J971" s="43">
        <v>1</v>
      </c>
      <c r="K971" s="43">
        <v>1</v>
      </c>
      <c r="L971" s="61">
        <v>26.78</v>
      </c>
      <c r="M971" s="62">
        <v>1.01</v>
      </c>
      <c r="N971" s="61">
        <v>27.05</v>
      </c>
      <c r="O971" s="42"/>
      <c r="P971" s="50">
        <v>31.107499999999998</v>
      </c>
      <c r="Q971" s="82"/>
      <c r="R971" s="82"/>
      <c r="S971" s="82"/>
      <c r="T971" s="82"/>
      <c r="U971" s="167"/>
      <c r="V971" s="82"/>
      <c r="W971" s="152"/>
      <c r="X971" s="82"/>
      <c r="Y971" s="82"/>
      <c r="Z971" s="82"/>
      <c r="AA971" s="82"/>
      <c r="AB971" s="145"/>
      <c r="AC971" s="145"/>
      <c r="AD971" s="145"/>
      <c r="AE971" s="145"/>
      <c r="AF971" s="145"/>
      <c r="AG971" s="145"/>
      <c r="AH971" s="145"/>
      <c r="AI971" s="145"/>
      <c r="AJ971" s="145"/>
      <c r="AK971" s="145"/>
      <c r="AL971" s="145"/>
      <c r="AM971" s="145"/>
      <c r="AN971" s="145"/>
      <c r="AO971" s="145"/>
      <c r="AP971" s="145"/>
      <c r="AQ971" s="145"/>
      <c r="AR971" s="145"/>
      <c r="AS971" s="145"/>
      <c r="AT971" s="145"/>
      <c r="AU971" s="145"/>
      <c r="AV971" s="146"/>
      <c r="AW971" s="146"/>
      <c r="AX971" s="146"/>
      <c r="AY971" s="146"/>
      <c r="AZ971" s="145"/>
      <c r="BA971" s="146"/>
      <c r="BB971" s="145"/>
      <c r="BC971" s="145"/>
      <c r="BD971" s="145"/>
      <c r="BE971" s="145"/>
      <c r="BF971" s="145"/>
      <c r="BG971" s="145"/>
      <c r="BH971" s="145"/>
      <c r="BI971" s="145"/>
      <c r="BJ971" s="145"/>
      <c r="BK971" s="145"/>
    </row>
    <row r="972" spans="1:63" s="147" customFormat="1" ht="15" x14ac:dyDescent="0.25">
      <c r="A972" s="59"/>
      <c r="B972" s="98"/>
      <c r="C972" s="102" t="s">
        <v>63</v>
      </c>
      <c r="D972" s="102"/>
      <c r="E972" s="102"/>
      <c r="F972" s="102"/>
      <c r="G972" s="102"/>
      <c r="H972" s="41"/>
      <c r="I972" s="42"/>
      <c r="J972" s="42"/>
      <c r="K972" s="42"/>
      <c r="L972" s="45"/>
      <c r="M972" s="42"/>
      <c r="N972" s="45"/>
      <c r="O972" s="42"/>
      <c r="P972" s="50">
        <v>31.107499999999998</v>
      </c>
      <c r="Q972" s="82"/>
      <c r="R972" s="82"/>
      <c r="S972" s="82"/>
      <c r="T972" s="82"/>
      <c r="U972" s="167"/>
      <c r="V972" s="82"/>
      <c r="W972" s="151"/>
      <c r="X972" s="82"/>
      <c r="Y972" s="82"/>
      <c r="Z972" s="82"/>
      <c r="AA972" s="82"/>
      <c r="AB972" s="145"/>
      <c r="AC972" s="145"/>
      <c r="AD972" s="145"/>
      <c r="AE972" s="145"/>
      <c r="AF972" s="145"/>
      <c r="AG972" s="145"/>
      <c r="AH972" s="145"/>
      <c r="AI972" s="145"/>
      <c r="AJ972" s="145"/>
      <c r="AK972" s="145"/>
      <c r="AL972" s="145"/>
      <c r="AM972" s="145"/>
      <c r="AN972" s="145"/>
      <c r="AO972" s="145"/>
      <c r="AP972" s="145"/>
      <c r="AQ972" s="145"/>
      <c r="AR972" s="145"/>
      <c r="AS972" s="145"/>
      <c r="AT972" s="145"/>
      <c r="AU972" s="145"/>
      <c r="AV972" s="146"/>
      <c r="AW972" s="146"/>
      <c r="AX972" s="146"/>
      <c r="AY972" s="146"/>
      <c r="AZ972" s="145"/>
      <c r="BA972" s="146"/>
      <c r="BB972" s="145"/>
      <c r="BC972" s="145"/>
      <c r="BD972" s="145"/>
      <c r="BE972" s="145"/>
      <c r="BF972" s="145"/>
      <c r="BG972" s="145"/>
      <c r="BH972" s="145"/>
      <c r="BI972" s="145"/>
      <c r="BJ972" s="145"/>
      <c r="BK972" s="145"/>
    </row>
    <row r="973" spans="1:63" s="147" customFormat="1" ht="33.75" x14ac:dyDescent="0.25">
      <c r="A973" s="39" t="s">
        <v>756</v>
      </c>
      <c r="B973" s="97" t="s">
        <v>261</v>
      </c>
      <c r="C973" s="103" t="s">
        <v>262</v>
      </c>
      <c r="D973" s="103"/>
      <c r="E973" s="103"/>
      <c r="F973" s="103"/>
      <c r="G973" s="103"/>
      <c r="H973" s="41" t="s">
        <v>263</v>
      </c>
      <c r="I973" s="42">
        <v>0.14000000000000001</v>
      </c>
      <c r="J973" s="43">
        <v>1</v>
      </c>
      <c r="K973" s="62">
        <v>0.14000000000000001</v>
      </c>
      <c r="L973" s="45"/>
      <c r="M973" s="42"/>
      <c r="N973" s="45"/>
      <c r="O973" s="42"/>
      <c r="P973" s="50"/>
      <c r="Q973" s="82"/>
      <c r="R973" s="82"/>
      <c r="S973" s="82"/>
      <c r="T973" s="82"/>
      <c r="U973" s="153"/>
      <c r="V973" s="82"/>
      <c r="W973" s="168"/>
      <c r="X973" s="82"/>
      <c r="Y973" s="82"/>
      <c r="Z973" s="82"/>
      <c r="AA973" s="82"/>
      <c r="AB973" s="145"/>
      <c r="AC973" s="145"/>
      <c r="AD973" s="145"/>
      <c r="AE973" s="145"/>
      <c r="AF973" s="145"/>
      <c r="AG973" s="145"/>
      <c r="AH973" s="145"/>
      <c r="AI973" s="145"/>
      <c r="AJ973" s="145"/>
      <c r="AK973" s="145"/>
      <c r="AL973" s="145"/>
      <c r="AM973" s="145"/>
      <c r="AN973" s="145"/>
      <c r="AO973" s="145"/>
      <c r="AP973" s="145"/>
      <c r="AQ973" s="145"/>
      <c r="AR973" s="145"/>
      <c r="AS973" s="145"/>
      <c r="AT973" s="145"/>
      <c r="AU973" s="145"/>
      <c r="AV973" s="146"/>
      <c r="AW973" s="146"/>
      <c r="AX973" s="146"/>
      <c r="AY973" s="146"/>
      <c r="AZ973" s="145"/>
      <c r="BA973" s="146"/>
      <c r="BB973" s="145"/>
      <c r="BC973" s="145"/>
      <c r="BD973" s="145"/>
      <c r="BE973" s="145"/>
      <c r="BF973" s="145"/>
      <c r="BG973" s="145"/>
      <c r="BH973" s="145"/>
      <c r="BI973" s="145"/>
      <c r="BJ973" s="145"/>
      <c r="BK973" s="145"/>
    </row>
    <row r="974" spans="1:63" s="147" customFormat="1" ht="15" x14ac:dyDescent="0.25">
      <c r="A974" s="47"/>
      <c r="B974" s="48"/>
      <c r="C974" s="102" t="s">
        <v>56</v>
      </c>
      <c r="D974" s="102"/>
      <c r="E974" s="102"/>
      <c r="F974" s="102"/>
      <c r="G974" s="102"/>
      <c r="H974" s="41"/>
      <c r="I974" s="42"/>
      <c r="J974" s="42"/>
      <c r="K974" s="42"/>
      <c r="L974" s="45"/>
      <c r="M974" s="42"/>
      <c r="N974" s="49"/>
      <c r="O974" s="42"/>
      <c r="P974" s="50">
        <v>147.51050000000001</v>
      </c>
      <c r="Q974" s="157"/>
      <c r="R974" s="157"/>
      <c r="S974" s="82"/>
      <c r="T974" s="82"/>
      <c r="U974" s="156"/>
      <c r="V974" s="82"/>
      <c r="W974" s="151"/>
      <c r="X974" s="82"/>
      <c r="Y974" s="82"/>
      <c r="Z974" s="82"/>
      <c r="AA974" s="82"/>
      <c r="AB974" s="145"/>
      <c r="AC974" s="145"/>
      <c r="AD974" s="145"/>
      <c r="AE974" s="145"/>
      <c r="AF974" s="145"/>
      <c r="AG974" s="145"/>
      <c r="AH974" s="145"/>
      <c r="AI974" s="145"/>
      <c r="AJ974" s="145"/>
      <c r="AK974" s="145"/>
      <c r="AL974" s="145"/>
      <c r="AM974" s="145"/>
      <c r="AN974" s="145"/>
      <c r="AO974" s="145"/>
      <c r="AP974" s="145"/>
      <c r="AQ974" s="145"/>
      <c r="AR974" s="145"/>
      <c r="AS974" s="145"/>
      <c r="AT974" s="145"/>
      <c r="AU974" s="145"/>
      <c r="AV974" s="146"/>
      <c r="AW974" s="146"/>
      <c r="AX974" s="146"/>
      <c r="AY974" s="146"/>
      <c r="AZ974" s="145"/>
      <c r="BA974" s="146"/>
      <c r="BB974" s="145"/>
      <c r="BC974" s="145"/>
      <c r="BD974" s="145"/>
      <c r="BE974" s="145"/>
      <c r="BF974" s="145"/>
      <c r="BG974" s="145"/>
      <c r="BH974" s="145"/>
      <c r="BI974" s="145"/>
      <c r="BJ974" s="145"/>
      <c r="BK974" s="145"/>
    </row>
    <row r="975" spans="1:63" s="147" customFormat="1" ht="15" x14ac:dyDescent="0.25">
      <c r="A975" s="52"/>
      <c r="B975" s="53"/>
      <c r="C975" s="104" t="s">
        <v>57</v>
      </c>
      <c r="D975" s="104"/>
      <c r="E975" s="104"/>
      <c r="F975" s="104"/>
      <c r="G975" s="104"/>
      <c r="H975" s="54"/>
      <c r="I975" s="55"/>
      <c r="J975" s="55"/>
      <c r="K975" s="55"/>
      <c r="L975" s="56"/>
      <c r="M975" s="55"/>
      <c r="N975" s="56"/>
      <c r="O975" s="55"/>
      <c r="P975" s="77">
        <v>147.51050000000001</v>
      </c>
      <c r="Q975" s="82"/>
      <c r="R975" s="82"/>
      <c r="S975" s="82"/>
      <c r="T975" s="82"/>
      <c r="U975" s="170"/>
      <c r="V975" s="82"/>
      <c r="W975" s="160"/>
      <c r="X975" s="82"/>
      <c r="Y975" s="82"/>
      <c r="Z975" s="82"/>
      <c r="AA975" s="82"/>
      <c r="AB975" s="145"/>
      <c r="AC975" s="145"/>
      <c r="AD975" s="145"/>
      <c r="AE975" s="145"/>
      <c r="AF975" s="145"/>
      <c r="AG975" s="145"/>
      <c r="AH975" s="145"/>
      <c r="AI975" s="145"/>
      <c r="AJ975" s="145"/>
      <c r="AK975" s="145"/>
      <c r="AL975" s="145"/>
      <c r="AM975" s="145"/>
      <c r="AN975" s="145"/>
      <c r="AO975" s="145"/>
      <c r="AP975" s="145"/>
      <c r="AQ975" s="145"/>
      <c r="AR975" s="145"/>
      <c r="AS975" s="145"/>
      <c r="AT975" s="145"/>
      <c r="AU975" s="145"/>
      <c r="AV975" s="146"/>
      <c r="AW975" s="146"/>
      <c r="AX975" s="146"/>
      <c r="AY975" s="146"/>
      <c r="AZ975" s="145"/>
      <c r="BA975" s="146"/>
      <c r="BB975" s="145"/>
      <c r="BC975" s="145"/>
      <c r="BD975" s="145"/>
      <c r="BE975" s="145"/>
      <c r="BF975" s="145"/>
      <c r="BG975" s="145"/>
      <c r="BH975" s="145"/>
      <c r="BI975" s="145"/>
      <c r="BJ975" s="145"/>
      <c r="BK975" s="145"/>
    </row>
    <row r="976" spans="1:63" s="147" customFormat="1" ht="15" x14ac:dyDescent="0.25">
      <c r="A976" s="52"/>
      <c r="B976" s="53" t="s">
        <v>215</v>
      </c>
      <c r="C976" s="104" t="s">
        <v>216</v>
      </c>
      <c r="D976" s="104"/>
      <c r="E976" s="104"/>
      <c r="F976" s="104"/>
      <c r="G976" s="104"/>
      <c r="H976" s="54" t="s">
        <v>60</v>
      </c>
      <c r="I976" s="58">
        <v>121</v>
      </c>
      <c r="J976" s="55"/>
      <c r="K976" s="58">
        <v>121</v>
      </c>
      <c r="L976" s="56"/>
      <c r="M976" s="55"/>
      <c r="N976" s="56"/>
      <c r="O976" s="55"/>
      <c r="P976" s="77">
        <v>178.4915</v>
      </c>
      <c r="Q976" s="82"/>
      <c r="R976" s="82"/>
      <c r="S976" s="82"/>
      <c r="T976" s="82"/>
      <c r="U976" s="170"/>
      <c r="V976" s="82"/>
      <c r="W976" s="164"/>
      <c r="X976" s="82"/>
      <c r="Y976" s="82"/>
      <c r="Z976" s="82"/>
      <c r="AA976" s="82"/>
      <c r="AB976" s="145"/>
      <c r="AC976" s="145"/>
      <c r="AD976" s="145"/>
      <c r="AE976" s="145"/>
      <c r="AF976" s="145"/>
      <c r="AG976" s="145"/>
      <c r="AH976" s="145"/>
      <c r="AI976" s="145"/>
      <c r="AJ976" s="145"/>
      <c r="AK976" s="145"/>
      <c r="AL976" s="145"/>
      <c r="AM976" s="145"/>
      <c r="AN976" s="145"/>
      <c r="AO976" s="145"/>
      <c r="AP976" s="145"/>
      <c r="AQ976" s="145"/>
      <c r="AR976" s="145"/>
      <c r="AS976" s="145"/>
      <c r="AT976" s="145"/>
      <c r="AU976" s="145"/>
      <c r="AV976" s="146"/>
      <c r="AW976" s="146"/>
      <c r="AX976" s="146"/>
      <c r="AY976" s="146"/>
      <c r="AZ976" s="145"/>
      <c r="BA976" s="146"/>
      <c r="BB976" s="145"/>
      <c r="BC976" s="145"/>
      <c r="BD976" s="145"/>
      <c r="BE976" s="145"/>
      <c r="BF976" s="145"/>
      <c r="BG976" s="145"/>
      <c r="BH976" s="145"/>
      <c r="BI976" s="145"/>
      <c r="BJ976" s="145"/>
      <c r="BK976" s="145"/>
    </row>
    <row r="977" spans="1:63" s="147" customFormat="1" ht="15" x14ac:dyDescent="0.25">
      <c r="A977" s="52"/>
      <c r="B977" s="53" t="s">
        <v>217</v>
      </c>
      <c r="C977" s="104" t="s">
        <v>218</v>
      </c>
      <c r="D977" s="104"/>
      <c r="E977" s="104"/>
      <c r="F977" s="104"/>
      <c r="G977" s="104"/>
      <c r="H977" s="54" t="s">
        <v>60</v>
      </c>
      <c r="I977" s="58">
        <v>72</v>
      </c>
      <c r="J977" s="55"/>
      <c r="K977" s="58">
        <v>72</v>
      </c>
      <c r="L977" s="56"/>
      <c r="M977" s="55"/>
      <c r="N977" s="56"/>
      <c r="O977" s="55"/>
      <c r="P977" s="77">
        <v>106.20249999999999</v>
      </c>
      <c r="Q977" s="82"/>
      <c r="R977" s="82"/>
      <c r="S977" s="82"/>
      <c r="T977" s="82"/>
      <c r="U977" s="170"/>
      <c r="V977" s="82"/>
      <c r="W977" s="164"/>
      <c r="X977" s="82"/>
      <c r="Y977" s="82"/>
      <c r="Z977" s="82"/>
      <c r="AA977" s="82"/>
      <c r="AB977" s="145"/>
      <c r="AC977" s="145"/>
      <c r="AD977" s="145"/>
      <c r="AE977" s="145"/>
      <c r="AF977" s="145"/>
      <c r="AG977" s="145"/>
      <c r="AH977" s="145"/>
      <c r="AI977" s="145"/>
      <c r="AJ977" s="145"/>
      <c r="AK977" s="145"/>
      <c r="AL977" s="145"/>
      <c r="AM977" s="145"/>
      <c r="AN977" s="145"/>
      <c r="AO977" s="145"/>
      <c r="AP977" s="145"/>
      <c r="AQ977" s="145"/>
      <c r="AR977" s="145"/>
      <c r="AS977" s="145"/>
      <c r="AT977" s="145"/>
      <c r="AU977" s="145"/>
      <c r="AV977" s="146"/>
      <c r="AW977" s="146"/>
      <c r="AX977" s="146"/>
      <c r="AY977" s="146"/>
      <c r="AZ977" s="145"/>
      <c r="BA977" s="146"/>
      <c r="BB977" s="145"/>
      <c r="BC977" s="145"/>
      <c r="BD977" s="145"/>
      <c r="BE977" s="145"/>
      <c r="BF977" s="145"/>
      <c r="BG977" s="145"/>
      <c r="BH977" s="145"/>
      <c r="BI977" s="145"/>
      <c r="BJ977" s="145"/>
      <c r="BK977" s="145"/>
    </row>
    <row r="978" spans="1:63" s="147" customFormat="1" ht="15" x14ac:dyDescent="0.25">
      <c r="A978" s="59"/>
      <c r="B978" s="98"/>
      <c r="C978" s="102" t="s">
        <v>63</v>
      </c>
      <c r="D978" s="102"/>
      <c r="E978" s="102"/>
      <c r="F978" s="102"/>
      <c r="G978" s="102"/>
      <c r="H978" s="41"/>
      <c r="I978" s="42"/>
      <c r="J978" s="42"/>
      <c r="K978" s="42"/>
      <c r="L978" s="45"/>
      <c r="M978" s="42"/>
      <c r="N978" s="49">
        <v>2684.5</v>
      </c>
      <c r="O978" s="42"/>
      <c r="P978" s="50">
        <v>432.20449999999994</v>
      </c>
      <c r="Q978" s="82"/>
      <c r="R978" s="82"/>
      <c r="S978" s="82"/>
      <c r="T978" s="82"/>
      <c r="U978" s="167"/>
      <c r="V978" s="82"/>
      <c r="W978" s="151"/>
      <c r="X978" s="82"/>
      <c r="Y978" s="82"/>
      <c r="Z978" s="82"/>
      <c r="AA978" s="82"/>
      <c r="AB978" s="145"/>
      <c r="AC978" s="145"/>
      <c r="AD978" s="145"/>
      <c r="AE978" s="145"/>
      <c r="AF978" s="145"/>
      <c r="AG978" s="145"/>
      <c r="AH978" s="145"/>
      <c r="AI978" s="145"/>
      <c r="AJ978" s="145"/>
      <c r="AK978" s="145"/>
      <c r="AL978" s="145"/>
      <c r="AM978" s="145"/>
      <c r="AN978" s="145"/>
      <c r="AO978" s="145"/>
      <c r="AP978" s="145"/>
      <c r="AQ978" s="145"/>
      <c r="AR978" s="145"/>
      <c r="AS978" s="145"/>
      <c r="AT978" s="145"/>
      <c r="AU978" s="145"/>
      <c r="AV978" s="146"/>
      <c r="AW978" s="146"/>
      <c r="AX978" s="146"/>
      <c r="AY978" s="146"/>
      <c r="AZ978" s="145"/>
      <c r="BA978" s="146"/>
      <c r="BB978" s="145"/>
      <c r="BC978" s="145"/>
      <c r="BD978" s="145"/>
      <c r="BE978" s="145"/>
      <c r="BF978" s="145"/>
      <c r="BG978" s="145"/>
      <c r="BH978" s="145"/>
      <c r="BI978" s="145"/>
      <c r="BJ978" s="145"/>
      <c r="BK978" s="145"/>
    </row>
    <row r="979" spans="1:63" s="147" customFormat="1" ht="15" x14ac:dyDescent="0.25">
      <c r="A979" s="39" t="s">
        <v>757</v>
      </c>
      <c r="B979" s="97" t="s">
        <v>265</v>
      </c>
      <c r="C979" s="103" t="s">
        <v>266</v>
      </c>
      <c r="D979" s="103"/>
      <c r="E979" s="103"/>
      <c r="F979" s="103"/>
      <c r="G979" s="103"/>
      <c r="H979" s="41" t="s">
        <v>125</v>
      </c>
      <c r="I979" s="42">
        <v>0.05</v>
      </c>
      <c r="J979" s="43">
        <v>1</v>
      </c>
      <c r="K979" s="62">
        <v>0.05</v>
      </c>
      <c r="L979" s="45"/>
      <c r="M979" s="42"/>
      <c r="N979" s="45"/>
      <c r="O979" s="42"/>
      <c r="P979" s="50">
        <v>0</v>
      </c>
      <c r="Q979" s="82"/>
      <c r="R979" s="82"/>
      <c r="S979" s="82"/>
      <c r="T979" s="82"/>
      <c r="U979" s="153"/>
      <c r="V979" s="82"/>
      <c r="W979" s="168"/>
      <c r="X979" s="82"/>
      <c r="Y979" s="82"/>
      <c r="Z979" s="82"/>
      <c r="AA979" s="82"/>
      <c r="AB979" s="145"/>
      <c r="AC979" s="145"/>
      <c r="AD979" s="145"/>
      <c r="AE979" s="145"/>
      <c r="AF979" s="145"/>
      <c r="AG979" s="145"/>
      <c r="AH979" s="145"/>
      <c r="AI979" s="145"/>
      <c r="AJ979" s="145"/>
      <c r="AK979" s="145"/>
      <c r="AL979" s="145"/>
      <c r="AM979" s="145"/>
      <c r="AN979" s="145"/>
      <c r="AO979" s="145"/>
      <c r="AP979" s="145"/>
      <c r="AQ979" s="145"/>
      <c r="AR979" s="145"/>
      <c r="AS979" s="145"/>
      <c r="AT979" s="145"/>
      <c r="AU979" s="145"/>
      <c r="AV979" s="146"/>
      <c r="AW979" s="146"/>
      <c r="AX979" s="146"/>
      <c r="AY979" s="146"/>
      <c r="AZ979" s="145"/>
      <c r="BA979" s="146"/>
      <c r="BB979" s="145"/>
      <c r="BC979" s="145"/>
      <c r="BD979" s="145"/>
      <c r="BE979" s="145"/>
      <c r="BF979" s="145"/>
      <c r="BG979" s="145"/>
      <c r="BH979" s="145"/>
      <c r="BI979" s="145"/>
      <c r="BJ979" s="145"/>
      <c r="BK979" s="145"/>
    </row>
    <row r="980" spans="1:63" s="147" customFormat="1" ht="15" x14ac:dyDescent="0.25">
      <c r="A980" s="47"/>
      <c r="B980" s="48"/>
      <c r="C980" s="102" t="s">
        <v>56</v>
      </c>
      <c r="D980" s="102"/>
      <c r="E980" s="102"/>
      <c r="F980" s="102"/>
      <c r="G980" s="102"/>
      <c r="H980" s="41"/>
      <c r="I980" s="42"/>
      <c r="J980" s="42"/>
      <c r="K980" s="42"/>
      <c r="L980" s="45"/>
      <c r="M980" s="42"/>
      <c r="N980" s="49"/>
      <c r="O980" s="42"/>
      <c r="P980" s="50">
        <v>345.01149999999996</v>
      </c>
      <c r="Q980" s="157"/>
      <c r="R980" s="157"/>
      <c r="S980" s="82"/>
      <c r="T980" s="82"/>
      <c r="U980" s="156"/>
      <c r="V980" s="82"/>
      <c r="W980" s="151"/>
      <c r="X980" s="82"/>
      <c r="Y980" s="82"/>
      <c r="Z980" s="82"/>
      <c r="AA980" s="82"/>
      <c r="AB980" s="145"/>
      <c r="AC980" s="145"/>
      <c r="AD980" s="145"/>
      <c r="AE980" s="145"/>
      <c r="AF980" s="145"/>
      <c r="AG980" s="145"/>
      <c r="AH980" s="145"/>
      <c r="AI980" s="145"/>
      <c r="AJ980" s="145"/>
      <c r="AK980" s="145"/>
      <c r="AL980" s="145"/>
      <c r="AM980" s="145"/>
      <c r="AN980" s="145"/>
      <c r="AO980" s="145"/>
      <c r="AP980" s="145"/>
      <c r="AQ980" s="145"/>
      <c r="AR980" s="145"/>
      <c r="AS980" s="145"/>
      <c r="AT980" s="145"/>
      <c r="AU980" s="145"/>
      <c r="AV980" s="146"/>
      <c r="AW980" s="146"/>
      <c r="AX980" s="146"/>
      <c r="AY980" s="146"/>
      <c r="AZ980" s="145"/>
      <c r="BA980" s="146"/>
      <c r="BB980" s="145"/>
      <c r="BC980" s="145"/>
      <c r="BD980" s="145"/>
      <c r="BE980" s="145"/>
      <c r="BF980" s="145"/>
      <c r="BG980" s="145"/>
      <c r="BH980" s="145"/>
      <c r="BI980" s="145"/>
      <c r="BJ980" s="145"/>
      <c r="BK980" s="145"/>
    </row>
    <row r="981" spans="1:63" s="147" customFormat="1" ht="15" x14ac:dyDescent="0.25">
      <c r="A981" s="52"/>
      <c r="B981" s="53"/>
      <c r="C981" s="104" t="s">
        <v>57</v>
      </c>
      <c r="D981" s="104"/>
      <c r="E981" s="104"/>
      <c r="F981" s="104"/>
      <c r="G981" s="104"/>
      <c r="H981" s="54"/>
      <c r="I981" s="55"/>
      <c r="J981" s="55"/>
      <c r="K981" s="55"/>
      <c r="L981" s="56"/>
      <c r="M981" s="55"/>
      <c r="N981" s="56"/>
      <c r="O981" s="55"/>
      <c r="P981" s="77">
        <v>307.6825</v>
      </c>
      <c r="Q981" s="82"/>
      <c r="R981" s="82"/>
      <c r="S981" s="82"/>
      <c r="T981" s="82"/>
      <c r="U981" s="170"/>
      <c r="V981" s="82"/>
      <c r="W981" s="160"/>
      <c r="X981" s="82"/>
      <c r="Y981" s="82"/>
      <c r="Z981" s="82"/>
      <c r="AA981" s="82"/>
      <c r="AB981" s="145"/>
      <c r="AC981" s="145"/>
      <c r="AD981" s="145"/>
      <c r="AE981" s="145"/>
      <c r="AF981" s="145"/>
      <c r="AG981" s="145"/>
      <c r="AH981" s="145"/>
      <c r="AI981" s="145"/>
      <c r="AJ981" s="145"/>
      <c r="AK981" s="145"/>
      <c r="AL981" s="145"/>
      <c r="AM981" s="145"/>
      <c r="AN981" s="145"/>
      <c r="AO981" s="145"/>
      <c r="AP981" s="145"/>
      <c r="AQ981" s="145"/>
      <c r="AR981" s="145"/>
      <c r="AS981" s="145"/>
      <c r="AT981" s="145"/>
      <c r="AU981" s="145"/>
      <c r="AV981" s="146"/>
      <c r="AW981" s="146"/>
      <c r="AX981" s="146"/>
      <c r="AY981" s="146"/>
      <c r="AZ981" s="145"/>
      <c r="BA981" s="146"/>
      <c r="BB981" s="145"/>
      <c r="BC981" s="145"/>
      <c r="BD981" s="145"/>
      <c r="BE981" s="145"/>
      <c r="BF981" s="145"/>
      <c r="BG981" s="145"/>
      <c r="BH981" s="145"/>
      <c r="BI981" s="145"/>
      <c r="BJ981" s="145"/>
      <c r="BK981" s="145"/>
    </row>
    <row r="982" spans="1:63" s="147" customFormat="1" ht="15" x14ac:dyDescent="0.25">
      <c r="A982" s="52"/>
      <c r="B982" s="53" t="s">
        <v>215</v>
      </c>
      <c r="C982" s="104" t="s">
        <v>216</v>
      </c>
      <c r="D982" s="104"/>
      <c r="E982" s="104"/>
      <c r="F982" s="104"/>
      <c r="G982" s="104"/>
      <c r="H982" s="54" t="s">
        <v>60</v>
      </c>
      <c r="I982" s="58">
        <v>121</v>
      </c>
      <c r="J982" s="55"/>
      <c r="K982" s="58">
        <v>121</v>
      </c>
      <c r="L982" s="56"/>
      <c r="M982" s="55"/>
      <c r="N982" s="56"/>
      <c r="O982" s="55"/>
      <c r="P982" s="77">
        <v>372.30099999999999</v>
      </c>
      <c r="Q982" s="82"/>
      <c r="R982" s="82"/>
      <c r="S982" s="82"/>
      <c r="T982" s="82"/>
      <c r="U982" s="170"/>
      <c r="V982" s="82"/>
      <c r="W982" s="164"/>
      <c r="X982" s="82"/>
      <c r="Y982" s="82"/>
      <c r="Z982" s="82"/>
      <c r="AA982" s="82"/>
      <c r="AB982" s="145"/>
      <c r="AC982" s="145"/>
      <c r="AD982" s="145"/>
      <c r="AE982" s="145"/>
      <c r="AF982" s="145"/>
      <c r="AG982" s="145"/>
      <c r="AH982" s="145"/>
      <c r="AI982" s="145"/>
      <c r="AJ982" s="145"/>
      <c r="AK982" s="145"/>
      <c r="AL982" s="145"/>
      <c r="AM982" s="145"/>
      <c r="AN982" s="145"/>
      <c r="AO982" s="145"/>
      <c r="AP982" s="145"/>
      <c r="AQ982" s="145"/>
      <c r="AR982" s="145"/>
      <c r="AS982" s="145"/>
      <c r="AT982" s="145"/>
      <c r="AU982" s="145"/>
      <c r="AV982" s="146"/>
      <c r="AW982" s="146"/>
      <c r="AX982" s="146"/>
      <c r="AY982" s="146"/>
      <c r="AZ982" s="145"/>
      <c r="BA982" s="146"/>
      <c r="BB982" s="145"/>
      <c r="BC982" s="145"/>
      <c r="BD982" s="145"/>
      <c r="BE982" s="145"/>
      <c r="BF982" s="145"/>
      <c r="BG982" s="145"/>
      <c r="BH982" s="145"/>
      <c r="BI982" s="145"/>
      <c r="BJ982" s="145"/>
      <c r="BK982" s="145"/>
    </row>
    <row r="983" spans="1:63" s="147" customFormat="1" ht="15" x14ac:dyDescent="0.25">
      <c r="A983" s="52"/>
      <c r="B983" s="53" t="s">
        <v>217</v>
      </c>
      <c r="C983" s="104" t="s">
        <v>218</v>
      </c>
      <c r="D983" s="104"/>
      <c r="E983" s="104"/>
      <c r="F983" s="104"/>
      <c r="G983" s="104"/>
      <c r="H983" s="54" t="s">
        <v>60</v>
      </c>
      <c r="I983" s="58">
        <v>72</v>
      </c>
      <c r="J983" s="55"/>
      <c r="K983" s="58">
        <v>72</v>
      </c>
      <c r="L983" s="56"/>
      <c r="M983" s="55"/>
      <c r="N983" s="56"/>
      <c r="O983" s="55"/>
      <c r="P983" s="77">
        <v>221.53599999999997</v>
      </c>
      <c r="Q983" s="82"/>
      <c r="R983" s="82"/>
      <c r="S983" s="82"/>
      <c r="T983" s="82"/>
      <c r="U983" s="170"/>
      <c r="V983" s="82"/>
      <c r="W983" s="164"/>
      <c r="X983" s="82"/>
      <c r="Y983" s="82"/>
      <c r="Z983" s="82"/>
      <c r="AA983" s="82"/>
      <c r="AB983" s="145"/>
      <c r="AC983" s="145"/>
      <c r="AD983" s="145"/>
      <c r="AE983" s="145"/>
      <c r="AF983" s="145"/>
      <c r="AG983" s="145"/>
      <c r="AH983" s="145"/>
      <c r="AI983" s="145"/>
      <c r="AJ983" s="145"/>
      <c r="AK983" s="145"/>
      <c r="AL983" s="145"/>
      <c r="AM983" s="145"/>
      <c r="AN983" s="145"/>
      <c r="AO983" s="145"/>
      <c r="AP983" s="145"/>
      <c r="AQ983" s="145"/>
      <c r="AR983" s="145"/>
      <c r="AS983" s="145"/>
      <c r="AT983" s="145"/>
      <c r="AU983" s="145"/>
      <c r="AV983" s="146"/>
      <c r="AW983" s="146"/>
      <c r="AX983" s="146"/>
      <c r="AY983" s="146"/>
      <c r="AZ983" s="145"/>
      <c r="BA983" s="146"/>
      <c r="BB983" s="145"/>
      <c r="BC983" s="145"/>
      <c r="BD983" s="145"/>
      <c r="BE983" s="145"/>
      <c r="BF983" s="145"/>
      <c r="BG983" s="145"/>
      <c r="BH983" s="145"/>
      <c r="BI983" s="145"/>
      <c r="BJ983" s="145"/>
      <c r="BK983" s="145"/>
    </row>
    <row r="984" spans="1:63" s="147" customFormat="1" ht="15" x14ac:dyDescent="0.25">
      <c r="A984" s="59"/>
      <c r="B984" s="98"/>
      <c r="C984" s="102" t="s">
        <v>63</v>
      </c>
      <c r="D984" s="102"/>
      <c r="E984" s="102"/>
      <c r="F984" s="102"/>
      <c r="G984" s="102"/>
      <c r="H984" s="41"/>
      <c r="I984" s="42"/>
      <c r="J984" s="42"/>
      <c r="K984" s="42"/>
      <c r="L984" s="45"/>
      <c r="M984" s="42"/>
      <c r="N984" s="49">
        <v>16327.8</v>
      </c>
      <c r="O984" s="42"/>
      <c r="P984" s="50">
        <v>938.84849999999994</v>
      </c>
      <c r="Q984" s="82"/>
      <c r="R984" s="82"/>
      <c r="S984" s="82"/>
      <c r="T984" s="82"/>
      <c r="U984" s="167"/>
      <c r="V984" s="82"/>
      <c r="W984" s="151"/>
      <c r="X984" s="82"/>
      <c r="Y984" s="82"/>
      <c r="Z984" s="82"/>
      <c r="AA984" s="82"/>
      <c r="AB984" s="145"/>
      <c r="AC984" s="145"/>
      <c r="AD984" s="145"/>
      <c r="AE984" s="145"/>
      <c r="AF984" s="145"/>
      <c r="AG984" s="145"/>
      <c r="AH984" s="145"/>
      <c r="AI984" s="145"/>
      <c r="AJ984" s="145"/>
      <c r="AK984" s="145"/>
      <c r="AL984" s="145"/>
      <c r="AM984" s="145"/>
      <c r="AN984" s="145"/>
      <c r="AO984" s="145"/>
      <c r="AP984" s="145"/>
      <c r="AQ984" s="145"/>
      <c r="AR984" s="145"/>
      <c r="AS984" s="145"/>
      <c r="AT984" s="145"/>
      <c r="AU984" s="145"/>
      <c r="AV984" s="146"/>
      <c r="AW984" s="146"/>
      <c r="AX984" s="146"/>
      <c r="AY984" s="146"/>
      <c r="AZ984" s="145"/>
      <c r="BA984" s="146"/>
      <c r="BB984" s="145"/>
      <c r="BC984" s="145"/>
      <c r="BD984" s="145"/>
      <c r="BE984" s="145"/>
      <c r="BF984" s="145"/>
      <c r="BG984" s="145"/>
      <c r="BH984" s="145"/>
      <c r="BI984" s="145"/>
      <c r="BJ984" s="145"/>
      <c r="BK984" s="145"/>
    </row>
    <row r="985" spans="1:63" s="147" customFormat="1" ht="15" x14ac:dyDescent="0.25">
      <c r="A985" s="39" t="s">
        <v>758</v>
      </c>
      <c r="B985" s="97" t="s">
        <v>268</v>
      </c>
      <c r="C985" s="103" t="s">
        <v>269</v>
      </c>
      <c r="D985" s="103"/>
      <c r="E985" s="103"/>
      <c r="F985" s="103"/>
      <c r="G985" s="103"/>
      <c r="H985" s="41" t="s">
        <v>244</v>
      </c>
      <c r="I985" s="42">
        <v>5.125</v>
      </c>
      <c r="J985" s="43">
        <v>1</v>
      </c>
      <c r="K985" s="66">
        <v>5.125</v>
      </c>
      <c r="L985" s="61">
        <v>45.1</v>
      </c>
      <c r="M985" s="62">
        <v>1.01</v>
      </c>
      <c r="N985" s="61">
        <v>45.55</v>
      </c>
      <c r="O985" s="42"/>
      <c r="P985" s="50">
        <v>268.45599999999996</v>
      </c>
      <c r="Q985" s="82"/>
      <c r="R985" s="82"/>
      <c r="S985" s="82"/>
      <c r="T985" s="82"/>
      <c r="U985" s="167"/>
      <c r="V985" s="82"/>
      <c r="W985" s="171"/>
      <c r="X985" s="82"/>
      <c r="Y985" s="82"/>
      <c r="Z985" s="82"/>
      <c r="AA985" s="82"/>
      <c r="AB985" s="145"/>
      <c r="AC985" s="145"/>
      <c r="AD985" s="145"/>
      <c r="AE985" s="145"/>
      <c r="AF985" s="145"/>
      <c r="AG985" s="145"/>
      <c r="AH985" s="145"/>
      <c r="AI985" s="145"/>
      <c r="AJ985" s="145"/>
      <c r="AK985" s="145"/>
      <c r="AL985" s="145"/>
      <c r="AM985" s="145"/>
      <c r="AN985" s="145"/>
      <c r="AO985" s="145"/>
      <c r="AP985" s="145"/>
      <c r="AQ985" s="145"/>
      <c r="AR985" s="145"/>
      <c r="AS985" s="145"/>
      <c r="AT985" s="145"/>
      <c r="AU985" s="145"/>
      <c r="AV985" s="146"/>
      <c r="AW985" s="146"/>
      <c r="AX985" s="146"/>
      <c r="AY985" s="146"/>
      <c r="AZ985" s="145"/>
      <c r="BA985" s="146"/>
      <c r="BB985" s="145"/>
      <c r="BC985" s="145"/>
      <c r="BD985" s="145"/>
      <c r="BE985" s="145"/>
      <c r="BF985" s="145"/>
      <c r="BG985" s="145"/>
      <c r="BH985" s="145"/>
      <c r="BI985" s="145"/>
      <c r="BJ985" s="145"/>
      <c r="BK985" s="145"/>
    </row>
    <row r="986" spans="1:63" s="147" customFormat="1" ht="15" x14ac:dyDescent="0.25">
      <c r="A986" s="59"/>
      <c r="B986" s="98"/>
      <c r="C986" s="102" t="s">
        <v>63</v>
      </c>
      <c r="D986" s="102"/>
      <c r="E986" s="102"/>
      <c r="F986" s="102"/>
      <c r="G986" s="102"/>
      <c r="H986" s="41"/>
      <c r="I986" s="42"/>
      <c r="J986" s="42"/>
      <c r="K986" s="42"/>
      <c r="L986" s="45"/>
      <c r="M986" s="42"/>
      <c r="N986" s="45"/>
      <c r="O986" s="42"/>
      <c r="P986" s="50">
        <v>268.45599999999996</v>
      </c>
      <c r="Q986" s="82"/>
      <c r="R986" s="82"/>
      <c r="S986" s="82"/>
      <c r="T986" s="82"/>
      <c r="U986" s="167"/>
      <c r="V986" s="82"/>
      <c r="W986" s="151"/>
      <c r="X986" s="82"/>
      <c r="Y986" s="82"/>
      <c r="Z986" s="82"/>
      <c r="AA986" s="82"/>
      <c r="AB986" s="145"/>
      <c r="AC986" s="145"/>
      <c r="AD986" s="145"/>
      <c r="AE986" s="145"/>
      <c r="AF986" s="145"/>
      <c r="AG986" s="145"/>
      <c r="AH986" s="145"/>
      <c r="AI986" s="145"/>
      <c r="AJ986" s="145"/>
      <c r="AK986" s="145"/>
      <c r="AL986" s="145"/>
      <c r="AM986" s="145"/>
      <c r="AN986" s="145"/>
      <c r="AO986" s="145"/>
      <c r="AP986" s="145"/>
      <c r="AQ986" s="145"/>
      <c r="AR986" s="145"/>
      <c r="AS986" s="145"/>
      <c r="AT986" s="145"/>
      <c r="AU986" s="145"/>
      <c r="AV986" s="146"/>
      <c r="AW986" s="146"/>
      <c r="AX986" s="146"/>
      <c r="AY986" s="146"/>
      <c r="AZ986" s="145"/>
      <c r="BA986" s="146"/>
      <c r="BB986" s="145"/>
      <c r="BC986" s="145"/>
      <c r="BD986" s="145"/>
      <c r="BE986" s="145"/>
      <c r="BF986" s="145"/>
      <c r="BG986" s="145"/>
      <c r="BH986" s="145"/>
      <c r="BI986" s="145"/>
      <c r="BJ986" s="145"/>
      <c r="BK986" s="145"/>
    </row>
    <row r="987" spans="1:63" s="147" customFormat="1" ht="15" x14ac:dyDescent="0.25">
      <c r="A987" s="39" t="s">
        <v>759</v>
      </c>
      <c r="B987" s="97" t="s">
        <v>271</v>
      </c>
      <c r="C987" s="103" t="s">
        <v>272</v>
      </c>
      <c r="D987" s="103"/>
      <c r="E987" s="103"/>
      <c r="F987" s="103"/>
      <c r="G987" s="103"/>
      <c r="H987" s="41" t="s">
        <v>83</v>
      </c>
      <c r="I987" s="42">
        <v>1</v>
      </c>
      <c r="J987" s="43">
        <v>1</v>
      </c>
      <c r="K987" s="43">
        <v>1</v>
      </c>
      <c r="L987" s="61">
        <v>8.2899999999999991</v>
      </c>
      <c r="M987" s="62">
        <v>1.01</v>
      </c>
      <c r="N987" s="61">
        <v>8.3699999999999992</v>
      </c>
      <c r="O987" s="42"/>
      <c r="P987" s="50">
        <v>9.6254999999999988</v>
      </c>
      <c r="Q987" s="82"/>
      <c r="R987" s="82"/>
      <c r="S987" s="82"/>
      <c r="T987" s="82"/>
      <c r="U987" s="167"/>
      <c r="V987" s="82"/>
      <c r="W987" s="152"/>
      <c r="X987" s="82"/>
      <c r="Y987" s="82"/>
      <c r="Z987" s="82"/>
      <c r="AA987" s="82"/>
      <c r="AB987" s="145"/>
      <c r="AC987" s="145"/>
      <c r="AD987" s="145"/>
      <c r="AE987" s="145"/>
      <c r="AF987" s="145"/>
      <c r="AG987" s="145"/>
      <c r="AH987" s="145"/>
      <c r="AI987" s="145"/>
      <c r="AJ987" s="145"/>
      <c r="AK987" s="145"/>
      <c r="AL987" s="145"/>
      <c r="AM987" s="145"/>
      <c r="AN987" s="145"/>
      <c r="AO987" s="145"/>
      <c r="AP987" s="145"/>
      <c r="AQ987" s="145"/>
      <c r="AR987" s="145"/>
      <c r="AS987" s="145"/>
      <c r="AT987" s="145"/>
      <c r="AU987" s="145"/>
      <c r="AV987" s="146"/>
      <c r="AW987" s="146"/>
      <c r="AX987" s="146"/>
      <c r="AY987" s="146"/>
      <c r="AZ987" s="145"/>
      <c r="BA987" s="146"/>
      <c r="BB987" s="145"/>
      <c r="BC987" s="145"/>
      <c r="BD987" s="145"/>
      <c r="BE987" s="145"/>
      <c r="BF987" s="145"/>
      <c r="BG987" s="145"/>
      <c r="BH987" s="145"/>
      <c r="BI987" s="145"/>
      <c r="BJ987" s="145"/>
      <c r="BK987" s="145"/>
    </row>
    <row r="988" spans="1:63" s="147" customFormat="1" ht="15" x14ac:dyDescent="0.25">
      <c r="A988" s="59"/>
      <c r="B988" s="98"/>
      <c r="C988" s="102" t="s">
        <v>63</v>
      </c>
      <c r="D988" s="102"/>
      <c r="E988" s="102"/>
      <c r="F988" s="102"/>
      <c r="G988" s="102"/>
      <c r="H988" s="41"/>
      <c r="I988" s="42"/>
      <c r="J988" s="42"/>
      <c r="K988" s="42"/>
      <c r="L988" s="45"/>
      <c r="M988" s="42"/>
      <c r="N988" s="45"/>
      <c r="O988" s="42"/>
      <c r="P988" s="50">
        <v>9.6254999999999988</v>
      </c>
      <c r="Q988" s="82"/>
      <c r="R988" s="82"/>
      <c r="S988" s="82"/>
      <c r="T988" s="82"/>
      <c r="U988" s="167"/>
      <c r="V988" s="82"/>
      <c r="W988" s="151"/>
      <c r="X988" s="82"/>
      <c r="Y988" s="82"/>
      <c r="Z988" s="82"/>
      <c r="AA988" s="82"/>
      <c r="AB988" s="145"/>
      <c r="AC988" s="145"/>
      <c r="AD988" s="145"/>
      <c r="AE988" s="145"/>
      <c r="AF988" s="145"/>
      <c r="AG988" s="145"/>
      <c r="AH988" s="145"/>
      <c r="AI988" s="145"/>
      <c r="AJ988" s="145"/>
      <c r="AK988" s="145"/>
      <c r="AL988" s="145"/>
      <c r="AM988" s="145"/>
      <c r="AN988" s="145"/>
      <c r="AO988" s="145"/>
      <c r="AP988" s="145"/>
      <c r="AQ988" s="145"/>
      <c r="AR988" s="145"/>
      <c r="AS988" s="145"/>
      <c r="AT988" s="145"/>
      <c r="AU988" s="145"/>
      <c r="AV988" s="146"/>
      <c r="AW988" s="146"/>
      <c r="AX988" s="146"/>
      <c r="AY988" s="146"/>
      <c r="AZ988" s="145"/>
      <c r="BA988" s="146"/>
      <c r="BB988" s="145"/>
      <c r="BC988" s="145"/>
      <c r="BD988" s="145"/>
      <c r="BE988" s="145"/>
      <c r="BF988" s="145"/>
      <c r="BG988" s="145"/>
      <c r="BH988" s="145"/>
      <c r="BI988" s="145"/>
      <c r="BJ988" s="145"/>
      <c r="BK988" s="145"/>
    </row>
    <row r="989" spans="1:63" s="147" customFormat="1" ht="15" x14ac:dyDescent="0.25">
      <c r="A989" s="39" t="s">
        <v>760</v>
      </c>
      <c r="B989" s="97" t="s">
        <v>274</v>
      </c>
      <c r="C989" s="103" t="s">
        <v>275</v>
      </c>
      <c r="D989" s="103"/>
      <c r="E989" s="103"/>
      <c r="F989" s="103"/>
      <c r="G989" s="103"/>
      <c r="H989" s="41" t="s">
        <v>83</v>
      </c>
      <c r="I989" s="42">
        <v>2</v>
      </c>
      <c r="J989" s="43">
        <v>1</v>
      </c>
      <c r="K989" s="43">
        <v>2</v>
      </c>
      <c r="L989" s="61">
        <v>6.28</v>
      </c>
      <c r="M989" s="62">
        <v>1.01</v>
      </c>
      <c r="N989" s="61">
        <v>6.34</v>
      </c>
      <c r="O989" s="42"/>
      <c r="P989" s="50">
        <v>14.581999999999999</v>
      </c>
      <c r="Q989" s="82"/>
      <c r="R989" s="82"/>
      <c r="S989" s="82"/>
      <c r="T989" s="82"/>
      <c r="U989" s="167"/>
      <c r="V989" s="82"/>
      <c r="W989" s="152"/>
      <c r="X989" s="82"/>
      <c r="Y989" s="82"/>
      <c r="Z989" s="82"/>
      <c r="AA989" s="82"/>
      <c r="AB989" s="145"/>
      <c r="AC989" s="145"/>
      <c r="AD989" s="145"/>
      <c r="AE989" s="145"/>
      <c r="AF989" s="145"/>
      <c r="AG989" s="145"/>
      <c r="AH989" s="145"/>
      <c r="AI989" s="145"/>
      <c r="AJ989" s="145"/>
      <c r="AK989" s="145"/>
      <c r="AL989" s="145"/>
      <c r="AM989" s="145"/>
      <c r="AN989" s="145"/>
      <c r="AO989" s="145"/>
      <c r="AP989" s="145"/>
      <c r="AQ989" s="145"/>
      <c r="AR989" s="145"/>
      <c r="AS989" s="145"/>
      <c r="AT989" s="145"/>
      <c r="AU989" s="145"/>
      <c r="AV989" s="146"/>
      <c r="AW989" s="146"/>
      <c r="AX989" s="146"/>
      <c r="AY989" s="146"/>
      <c r="AZ989" s="145"/>
      <c r="BA989" s="146"/>
      <c r="BB989" s="145"/>
      <c r="BC989" s="145"/>
      <c r="BD989" s="145"/>
      <c r="BE989" s="145"/>
      <c r="BF989" s="145"/>
      <c r="BG989" s="145"/>
      <c r="BH989" s="145"/>
      <c r="BI989" s="145"/>
      <c r="BJ989" s="145"/>
      <c r="BK989" s="145"/>
    </row>
    <row r="990" spans="1:63" s="147" customFormat="1" ht="15" x14ac:dyDescent="0.25">
      <c r="A990" s="59"/>
      <c r="B990" s="98"/>
      <c r="C990" s="102" t="s">
        <v>63</v>
      </c>
      <c r="D990" s="102"/>
      <c r="E990" s="102"/>
      <c r="F990" s="102"/>
      <c r="G990" s="102"/>
      <c r="H990" s="41"/>
      <c r="I990" s="42"/>
      <c r="J990" s="42"/>
      <c r="K990" s="42"/>
      <c r="L990" s="45"/>
      <c r="M990" s="42"/>
      <c r="N990" s="45"/>
      <c r="O990" s="42"/>
      <c r="P990" s="50">
        <v>14.581999999999999</v>
      </c>
      <c r="Q990" s="82"/>
      <c r="R990" s="82"/>
      <c r="S990" s="82"/>
      <c r="T990" s="82"/>
      <c r="U990" s="167"/>
      <c r="V990" s="82"/>
      <c r="W990" s="151"/>
      <c r="X990" s="82"/>
      <c r="Y990" s="82"/>
      <c r="Z990" s="82"/>
      <c r="AA990" s="82"/>
      <c r="AB990" s="145"/>
      <c r="AC990" s="145"/>
      <c r="AD990" s="145"/>
      <c r="AE990" s="145"/>
      <c r="AF990" s="145"/>
      <c r="AG990" s="145"/>
      <c r="AH990" s="145"/>
      <c r="AI990" s="145"/>
      <c r="AJ990" s="145"/>
      <c r="AK990" s="145"/>
      <c r="AL990" s="145"/>
      <c r="AM990" s="145"/>
      <c r="AN990" s="145"/>
      <c r="AO990" s="145"/>
      <c r="AP990" s="145"/>
      <c r="AQ990" s="145"/>
      <c r="AR990" s="145"/>
      <c r="AS990" s="145"/>
      <c r="AT990" s="145"/>
      <c r="AU990" s="145"/>
      <c r="AV990" s="146"/>
      <c r="AW990" s="146"/>
      <c r="AX990" s="146"/>
      <c r="AY990" s="146"/>
      <c r="AZ990" s="145"/>
      <c r="BA990" s="146"/>
      <c r="BB990" s="145"/>
      <c r="BC990" s="145"/>
      <c r="BD990" s="145"/>
      <c r="BE990" s="145"/>
      <c r="BF990" s="145"/>
      <c r="BG990" s="145"/>
      <c r="BH990" s="145"/>
      <c r="BI990" s="145"/>
      <c r="BJ990" s="145"/>
      <c r="BK990" s="145"/>
    </row>
    <row r="991" spans="1:63" s="147" customFormat="1" ht="15" x14ac:dyDescent="0.25">
      <c r="A991" s="39" t="s">
        <v>761</v>
      </c>
      <c r="B991" s="97" t="s">
        <v>277</v>
      </c>
      <c r="C991" s="103" t="s">
        <v>278</v>
      </c>
      <c r="D991" s="103"/>
      <c r="E991" s="103"/>
      <c r="F991" s="103"/>
      <c r="G991" s="103"/>
      <c r="H991" s="41" t="s">
        <v>83</v>
      </c>
      <c r="I991" s="42">
        <v>6</v>
      </c>
      <c r="J991" s="43">
        <v>1</v>
      </c>
      <c r="K991" s="43">
        <v>6</v>
      </c>
      <c r="L991" s="61">
        <v>45.79</v>
      </c>
      <c r="M991" s="62">
        <v>1.01</v>
      </c>
      <c r="N991" s="61">
        <v>46.25</v>
      </c>
      <c r="O991" s="42"/>
      <c r="P991" s="50">
        <v>319.125</v>
      </c>
      <c r="Q991" s="82"/>
      <c r="R991" s="82"/>
      <c r="S991" s="82"/>
      <c r="T991" s="82"/>
      <c r="U991" s="167"/>
      <c r="V991" s="82"/>
      <c r="W991" s="152"/>
      <c r="X991" s="82"/>
      <c r="Y991" s="82"/>
      <c r="Z991" s="82"/>
      <c r="AA991" s="82"/>
      <c r="AB991" s="145"/>
      <c r="AC991" s="145"/>
      <c r="AD991" s="145"/>
      <c r="AE991" s="145"/>
      <c r="AF991" s="145"/>
      <c r="AG991" s="145"/>
      <c r="AH991" s="145"/>
      <c r="AI991" s="145"/>
      <c r="AJ991" s="145"/>
      <c r="AK991" s="145"/>
      <c r="AL991" s="145"/>
      <c r="AM991" s="145"/>
      <c r="AN991" s="145"/>
      <c r="AO991" s="145"/>
      <c r="AP991" s="145"/>
      <c r="AQ991" s="145"/>
      <c r="AR991" s="145"/>
      <c r="AS991" s="145"/>
      <c r="AT991" s="145"/>
      <c r="AU991" s="145"/>
      <c r="AV991" s="146"/>
      <c r="AW991" s="146"/>
      <c r="AX991" s="146"/>
      <c r="AY991" s="146"/>
      <c r="AZ991" s="145"/>
      <c r="BA991" s="146"/>
      <c r="BB991" s="145"/>
      <c r="BC991" s="145"/>
      <c r="BD991" s="145"/>
      <c r="BE991" s="145"/>
      <c r="BF991" s="145"/>
      <c r="BG991" s="145"/>
      <c r="BH991" s="145"/>
      <c r="BI991" s="145"/>
      <c r="BJ991" s="145"/>
      <c r="BK991" s="145"/>
    </row>
    <row r="992" spans="1:63" s="147" customFormat="1" ht="15" x14ac:dyDescent="0.25">
      <c r="A992" s="59"/>
      <c r="B992" s="98"/>
      <c r="C992" s="102" t="s">
        <v>63</v>
      </c>
      <c r="D992" s="102"/>
      <c r="E992" s="102"/>
      <c r="F992" s="102"/>
      <c r="G992" s="102"/>
      <c r="H992" s="41"/>
      <c r="I992" s="42"/>
      <c r="J992" s="42"/>
      <c r="K992" s="42"/>
      <c r="L992" s="45"/>
      <c r="M992" s="42"/>
      <c r="N992" s="45"/>
      <c r="O992" s="42"/>
      <c r="P992" s="50">
        <v>319.125</v>
      </c>
      <c r="Q992" s="82"/>
      <c r="R992" s="82"/>
      <c r="S992" s="82"/>
      <c r="T992" s="82"/>
      <c r="U992" s="167"/>
      <c r="V992" s="82"/>
      <c r="W992" s="151"/>
      <c r="X992" s="82"/>
      <c r="Y992" s="82"/>
      <c r="Z992" s="82"/>
      <c r="AA992" s="82"/>
      <c r="AB992" s="145"/>
      <c r="AC992" s="145"/>
      <c r="AD992" s="145"/>
      <c r="AE992" s="145"/>
      <c r="AF992" s="145"/>
      <c r="AG992" s="145"/>
      <c r="AH992" s="145"/>
      <c r="AI992" s="145"/>
      <c r="AJ992" s="145"/>
      <c r="AK992" s="145"/>
      <c r="AL992" s="145"/>
      <c r="AM992" s="145"/>
      <c r="AN992" s="145"/>
      <c r="AO992" s="145"/>
      <c r="AP992" s="145"/>
      <c r="AQ992" s="145"/>
      <c r="AR992" s="145"/>
      <c r="AS992" s="145"/>
      <c r="AT992" s="145"/>
      <c r="AU992" s="145"/>
      <c r="AV992" s="146"/>
      <c r="AW992" s="146"/>
      <c r="AX992" s="146"/>
      <c r="AY992" s="146"/>
      <c r="AZ992" s="145"/>
      <c r="BA992" s="146"/>
      <c r="BB992" s="145"/>
      <c r="BC992" s="145"/>
      <c r="BD992" s="145"/>
      <c r="BE992" s="145"/>
      <c r="BF992" s="145"/>
      <c r="BG992" s="145"/>
      <c r="BH992" s="145"/>
      <c r="BI992" s="145"/>
      <c r="BJ992" s="145"/>
      <c r="BK992" s="145"/>
    </row>
    <row r="993" spans="1:63" s="147" customFormat="1" ht="15" x14ac:dyDescent="0.25">
      <c r="A993" s="39" t="s">
        <v>762</v>
      </c>
      <c r="B993" s="97" t="s">
        <v>280</v>
      </c>
      <c r="C993" s="103" t="s">
        <v>281</v>
      </c>
      <c r="D993" s="103"/>
      <c r="E993" s="103"/>
      <c r="F993" s="103"/>
      <c r="G993" s="103"/>
      <c r="H993" s="41" t="s">
        <v>75</v>
      </c>
      <c r="I993" s="42">
        <v>0.03</v>
      </c>
      <c r="J993" s="43">
        <v>1</v>
      </c>
      <c r="K993" s="62">
        <v>0.03</v>
      </c>
      <c r="L993" s="45"/>
      <c r="M993" s="42"/>
      <c r="N993" s="45"/>
      <c r="O993" s="42"/>
      <c r="P993" s="50">
        <v>0</v>
      </c>
      <c r="Q993" s="82"/>
      <c r="R993" s="82"/>
      <c r="S993" s="82"/>
      <c r="T993" s="82"/>
      <c r="U993" s="153"/>
      <c r="V993" s="82"/>
      <c r="W993" s="168"/>
      <c r="X993" s="82"/>
      <c r="Y993" s="82"/>
      <c r="Z993" s="82"/>
      <c r="AA993" s="82"/>
      <c r="AB993" s="145"/>
      <c r="AC993" s="145"/>
      <c r="AD993" s="145"/>
      <c r="AE993" s="145"/>
      <c r="AF993" s="145"/>
      <c r="AG993" s="145"/>
      <c r="AH993" s="145"/>
      <c r="AI993" s="145"/>
      <c r="AJ993" s="145"/>
      <c r="AK993" s="145"/>
      <c r="AL993" s="145"/>
      <c r="AM993" s="145"/>
      <c r="AN993" s="145"/>
      <c r="AO993" s="145"/>
      <c r="AP993" s="145"/>
      <c r="AQ993" s="145"/>
      <c r="AR993" s="145"/>
      <c r="AS993" s="145"/>
      <c r="AT993" s="145"/>
      <c r="AU993" s="145"/>
      <c r="AV993" s="146"/>
      <c r="AW993" s="146"/>
      <c r="AX993" s="146"/>
      <c r="AY993" s="146"/>
      <c r="AZ993" s="145"/>
      <c r="BA993" s="146"/>
      <c r="BB993" s="145"/>
      <c r="BC993" s="145"/>
      <c r="BD993" s="145"/>
      <c r="BE993" s="145"/>
      <c r="BF993" s="145"/>
      <c r="BG993" s="145"/>
      <c r="BH993" s="145"/>
      <c r="BI993" s="145"/>
      <c r="BJ993" s="145"/>
      <c r="BK993" s="145"/>
    </row>
    <row r="994" spans="1:63" s="147" customFormat="1" ht="15" x14ac:dyDescent="0.25">
      <c r="A994" s="47"/>
      <c r="B994" s="48"/>
      <c r="C994" s="102" t="s">
        <v>56</v>
      </c>
      <c r="D994" s="102"/>
      <c r="E994" s="102"/>
      <c r="F994" s="102"/>
      <c r="G994" s="102"/>
      <c r="H994" s="41"/>
      <c r="I994" s="42"/>
      <c r="J994" s="42"/>
      <c r="K994" s="42"/>
      <c r="L994" s="45"/>
      <c r="M994" s="42"/>
      <c r="N994" s="49"/>
      <c r="O994" s="42"/>
      <c r="P994" s="50">
        <v>2405.2824999999998</v>
      </c>
      <c r="Q994" s="157"/>
      <c r="R994" s="157"/>
      <c r="S994" s="82"/>
      <c r="T994" s="82"/>
      <c r="U994" s="156"/>
      <c r="V994" s="82"/>
      <c r="W994" s="151"/>
      <c r="X994" s="82"/>
      <c r="Y994" s="82"/>
      <c r="Z994" s="82"/>
      <c r="AA994" s="82"/>
      <c r="AB994" s="145"/>
      <c r="AC994" s="145"/>
      <c r="AD994" s="145"/>
      <c r="AE994" s="145"/>
      <c r="AF994" s="145"/>
      <c r="AG994" s="145"/>
      <c r="AH994" s="145"/>
      <c r="AI994" s="145"/>
      <c r="AJ994" s="145"/>
      <c r="AK994" s="145"/>
      <c r="AL994" s="145"/>
      <c r="AM994" s="145"/>
      <c r="AN994" s="145"/>
      <c r="AO994" s="145"/>
      <c r="AP994" s="145"/>
      <c r="AQ994" s="145"/>
      <c r="AR994" s="145"/>
      <c r="AS994" s="145"/>
      <c r="AT994" s="145"/>
      <c r="AU994" s="145"/>
      <c r="AV994" s="146"/>
      <c r="AW994" s="146"/>
      <c r="AX994" s="146"/>
      <c r="AY994" s="146"/>
      <c r="AZ994" s="145"/>
      <c r="BA994" s="146"/>
      <c r="BB994" s="145"/>
      <c r="BC994" s="145"/>
      <c r="BD994" s="145"/>
      <c r="BE994" s="145"/>
      <c r="BF994" s="145"/>
      <c r="BG994" s="145"/>
      <c r="BH994" s="145"/>
      <c r="BI994" s="145"/>
      <c r="BJ994" s="145"/>
      <c r="BK994" s="145"/>
    </row>
    <row r="995" spans="1:63" s="147" customFormat="1" ht="15" x14ac:dyDescent="0.25">
      <c r="A995" s="52"/>
      <c r="B995" s="53"/>
      <c r="C995" s="104" t="s">
        <v>57</v>
      </c>
      <c r="D995" s="104"/>
      <c r="E995" s="104"/>
      <c r="F995" s="104"/>
      <c r="G995" s="104"/>
      <c r="H995" s="54"/>
      <c r="I995" s="55"/>
      <c r="J995" s="55"/>
      <c r="K995" s="55"/>
      <c r="L995" s="56"/>
      <c r="M995" s="55"/>
      <c r="N995" s="56"/>
      <c r="O995" s="55"/>
      <c r="P995" s="77">
        <v>1917.7860000000001</v>
      </c>
      <c r="Q995" s="82"/>
      <c r="R995" s="82"/>
      <c r="S995" s="82"/>
      <c r="T995" s="82"/>
      <c r="U995" s="163"/>
      <c r="V995" s="82"/>
      <c r="W995" s="160"/>
      <c r="X995" s="82"/>
      <c r="Y995" s="82"/>
      <c r="Z995" s="82"/>
      <c r="AA995" s="82"/>
      <c r="AB995" s="145"/>
      <c r="AC995" s="145"/>
      <c r="AD995" s="145"/>
      <c r="AE995" s="145"/>
      <c r="AF995" s="145"/>
      <c r="AG995" s="145"/>
      <c r="AH995" s="145"/>
      <c r="AI995" s="145"/>
      <c r="AJ995" s="145"/>
      <c r="AK995" s="145"/>
      <c r="AL995" s="145"/>
      <c r="AM995" s="145"/>
      <c r="AN995" s="145"/>
      <c r="AO995" s="145"/>
      <c r="AP995" s="145"/>
      <c r="AQ995" s="145"/>
      <c r="AR995" s="145"/>
      <c r="AS995" s="145"/>
      <c r="AT995" s="145"/>
      <c r="AU995" s="145"/>
      <c r="AV995" s="146"/>
      <c r="AW995" s="146"/>
      <c r="AX995" s="146"/>
      <c r="AY995" s="146"/>
      <c r="AZ995" s="145"/>
      <c r="BA995" s="146"/>
      <c r="BB995" s="145"/>
      <c r="BC995" s="145"/>
      <c r="BD995" s="145"/>
      <c r="BE995" s="145"/>
      <c r="BF995" s="145"/>
      <c r="BG995" s="145"/>
      <c r="BH995" s="145"/>
      <c r="BI995" s="145"/>
      <c r="BJ995" s="145"/>
      <c r="BK995" s="145"/>
    </row>
    <row r="996" spans="1:63" s="147" customFormat="1" ht="15" x14ac:dyDescent="0.25">
      <c r="A996" s="52"/>
      <c r="B996" s="53" t="s">
        <v>225</v>
      </c>
      <c r="C996" s="104" t="s">
        <v>226</v>
      </c>
      <c r="D996" s="104"/>
      <c r="E996" s="104"/>
      <c r="F996" s="104"/>
      <c r="G996" s="104"/>
      <c r="H996" s="54" t="s">
        <v>60</v>
      </c>
      <c r="I996" s="58">
        <v>103</v>
      </c>
      <c r="J996" s="55"/>
      <c r="K996" s="58">
        <v>103</v>
      </c>
      <c r="L996" s="56"/>
      <c r="M996" s="55"/>
      <c r="N996" s="56"/>
      <c r="O996" s="55"/>
      <c r="P996" s="77">
        <v>1975.3205</v>
      </c>
      <c r="Q996" s="82"/>
      <c r="R996" s="82"/>
      <c r="S996" s="82"/>
      <c r="T996" s="82"/>
      <c r="U996" s="163"/>
      <c r="V996" s="82"/>
      <c r="W996" s="164"/>
      <c r="X996" s="82"/>
      <c r="Y996" s="82"/>
      <c r="Z996" s="82"/>
      <c r="AA996" s="82"/>
      <c r="AB996" s="145"/>
      <c r="AC996" s="145"/>
      <c r="AD996" s="145"/>
      <c r="AE996" s="145"/>
      <c r="AF996" s="145"/>
      <c r="AG996" s="145"/>
      <c r="AH996" s="145"/>
      <c r="AI996" s="145"/>
      <c r="AJ996" s="145"/>
      <c r="AK996" s="145"/>
      <c r="AL996" s="145"/>
      <c r="AM996" s="145"/>
      <c r="AN996" s="145"/>
      <c r="AO996" s="145"/>
      <c r="AP996" s="145"/>
      <c r="AQ996" s="145"/>
      <c r="AR996" s="145"/>
      <c r="AS996" s="145"/>
      <c r="AT996" s="145"/>
      <c r="AU996" s="145"/>
      <c r="AV996" s="146"/>
      <c r="AW996" s="146"/>
      <c r="AX996" s="146"/>
      <c r="AY996" s="146"/>
      <c r="AZ996" s="145"/>
      <c r="BA996" s="146"/>
      <c r="BB996" s="145"/>
      <c r="BC996" s="145"/>
      <c r="BD996" s="145"/>
      <c r="BE996" s="145"/>
      <c r="BF996" s="145"/>
      <c r="BG996" s="145"/>
      <c r="BH996" s="145"/>
      <c r="BI996" s="145"/>
      <c r="BJ996" s="145"/>
      <c r="BK996" s="145"/>
    </row>
    <row r="997" spans="1:63" s="147" customFormat="1" ht="15" x14ac:dyDescent="0.25">
      <c r="A997" s="52"/>
      <c r="B997" s="53" t="s">
        <v>227</v>
      </c>
      <c r="C997" s="104" t="s">
        <v>228</v>
      </c>
      <c r="D997" s="104"/>
      <c r="E997" s="104"/>
      <c r="F997" s="104"/>
      <c r="G997" s="104"/>
      <c r="H997" s="54" t="s">
        <v>60</v>
      </c>
      <c r="I997" s="58">
        <v>52</v>
      </c>
      <c r="J997" s="55"/>
      <c r="K997" s="58">
        <v>52</v>
      </c>
      <c r="L997" s="56"/>
      <c r="M997" s="55"/>
      <c r="N997" s="56"/>
      <c r="O997" s="55"/>
      <c r="P997" s="77">
        <v>997.24549999999988</v>
      </c>
      <c r="Q997" s="82"/>
      <c r="R997" s="82"/>
      <c r="S997" s="82"/>
      <c r="T997" s="82"/>
      <c r="U997" s="170"/>
      <c r="V997" s="82"/>
      <c r="W997" s="164"/>
      <c r="X997" s="82"/>
      <c r="Y997" s="82"/>
      <c r="Z997" s="82"/>
      <c r="AA997" s="82"/>
      <c r="AB997" s="145"/>
      <c r="AC997" s="145"/>
      <c r="AD997" s="145"/>
      <c r="AE997" s="145"/>
      <c r="AF997" s="145"/>
      <c r="AG997" s="145"/>
      <c r="AH997" s="145"/>
      <c r="AI997" s="145"/>
      <c r="AJ997" s="145"/>
      <c r="AK997" s="145"/>
      <c r="AL997" s="145"/>
      <c r="AM997" s="145"/>
      <c r="AN997" s="145"/>
      <c r="AO997" s="145"/>
      <c r="AP997" s="145"/>
      <c r="AQ997" s="145"/>
      <c r="AR997" s="145"/>
      <c r="AS997" s="145"/>
      <c r="AT997" s="145"/>
      <c r="AU997" s="145"/>
      <c r="AV997" s="146"/>
      <c r="AW997" s="146"/>
      <c r="AX997" s="146"/>
      <c r="AY997" s="146"/>
      <c r="AZ997" s="145"/>
      <c r="BA997" s="146"/>
      <c r="BB997" s="145"/>
      <c r="BC997" s="145"/>
      <c r="BD997" s="145"/>
      <c r="BE997" s="145"/>
      <c r="BF997" s="145"/>
      <c r="BG997" s="145"/>
      <c r="BH997" s="145"/>
      <c r="BI997" s="145"/>
      <c r="BJ997" s="145"/>
      <c r="BK997" s="145"/>
    </row>
    <row r="998" spans="1:63" s="147" customFormat="1" ht="15" x14ac:dyDescent="0.25">
      <c r="A998" s="59"/>
      <c r="B998" s="98"/>
      <c r="C998" s="102" t="s">
        <v>63</v>
      </c>
      <c r="D998" s="102"/>
      <c r="E998" s="102"/>
      <c r="F998" s="102"/>
      <c r="G998" s="102"/>
      <c r="H998" s="41"/>
      <c r="I998" s="42"/>
      <c r="J998" s="42"/>
      <c r="K998" s="42"/>
      <c r="L998" s="45"/>
      <c r="M998" s="42"/>
      <c r="N998" s="49">
        <v>233819.5</v>
      </c>
      <c r="O998" s="42"/>
      <c r="P998" s="50">
        <v>8066.7727500000001</v>
      </c>
      <c r="Q998" s="82"/>
      <c r="R998" s="82"/>
      <c r="S998" s="82"/>
      <c r="T998" s="82"/>
      <c r="U998" s="156"/>
      <c r="V998" s="82"/>
      <c r="W998" s="151"/>
      <c r="X998" s="82"/>
      <c r="Y998" s="82"/>
      <c r="Z998" s="82"/>
      <c r="AA998" s="82"/>
      <c r="AB998" s="145"/>
      <c r="AC998" s="145"/>
      <c r="AD998" s="145"/>
      <c r="AE998" s="145"/>
      <c r="AF998" s="145"/>
      <c r="AG998" s="145"/>
      <c r="AH998" s="145"/>
      <c r="AI998" s="145"/>
      <c r="AJ998" s="145"/>
      <c r="AK998" s="145"/>
      <c r="AL998" s="145"/>
      <c r="AM998" s="145"/>
      <c r="AN998" s="145"/>
      <c r="AO998" s="145"/>
      <c r="AP998" s="145"/>
      <c r="AQ998" s="145"/>
      <c r="AR998" s="145"/>
      <c r="AS998" s="145"/>
      <c r="AT998" s="145"/>
      <c r="AU998" s="145"/>
      <c r="AV998" s="146"/>
      <c r="AW998" s="146"/>
      <c r="AX998" s="146"/>
      <c r="AY998" s="146"/>
      <c r="AZ998" s="145"/>
      <c r="BA998" s="146"/>
      <c r="BB998" s="145"/>
      <c r="BC998" s="145"/>
      <c r="BD998" s="145"/>
      <c r="BE998" s="145"/>
      <c r="BF998" s="145"/>
      <c r="BG998" s="145"/>
      <c r="BH998" s="145"/>
      <c r="BI998" s="145"/>
      <c r="BJ998" s="145"/>
      <c r="BK998" s="145"/>
    </row>
    <row r="999" spans="1:63" s="147" customFormat="1" ht="15" x14ac:dyDescent="0.25">
      <c r="A999" s="39" t="s">
        <v>763</v>
      </c>
      <c r="B999" s="97" t="s">
        <v>283</v>
      </c>
      <c r="C999" s="103" t="s">
        <v>284</v>
      </c>
      <c r="D999" s="103"/>
      <c r="E999" s="103"/>
      <c r="F999" s="103"/>
      <c r="G999" s="103"/>
      <c r="H999" s="41" t="s">
        <v>222</v>
      </c>
      <c r="I999" s="42">
        <v>3</v>
      </c>
      <c r="J999" s="43">
        <v>1</v>
      </c>
      <c r="K999" s="43">
        <v>3</v>
      </c>
      <c r="L999" s="49">
        <v>1181.19</v>
      </c>
      <c r="M999" s="62">
        <v>1.46</v>
      </c>
      <c r="N999" s="49">
        <v>1724.54</v>
      </c>
      <c r="O999" s="42"/>
      <c r="P999" s="50">
        <v>5949.6629999999996</v>
      </c>
      <c r="Q999" s="82"/>
      <c r="R999" s="82"/>
      <c r="S999" s="82"/>
      <c r="T999" s="82"/>
      <c r="U999" s="156"/>
      <c r="V999" s="82"/>
      <c r="W999" s="152"/>
      <c r="X999" s="82"/>
      <c r="Y999" s="82"/>
      <c r="Z999" s="82"/>
      <c r="AA999" s="82"/>
      <c r="AB999" s="145"/>
      <c r="AC999" s="145"/>
      <c r="AD999" s="145"/>
      <c r="AE999" s="145"/>
      <c r="AF999" s="145"/>
      <c r="AG999" s="145"/>
      <c r="AH999" s="145"/>
      <c r="AI999" s="145"/>
      <c r="AJ999" s="145"/>
      <c r="AK999" s="145"/>
      <c r="AL999" s="145"/>
      <c r="AM999" s="145"/>
      <c r="AN999" s="145"/>
      <c r="AO999" s="145"/>
      <c r="AP999" s="145"/>
      <c r="AQ999" s="145"/>
      <c r="AR999" s="145"/>
      <c r="AS999" s="145"/>
      <c r="AT999" s="145"/>
      <c r="AU999" s="145"/>
      <c r="AV999" s="146"/>
      <c r="AW999" s="146"/>
      <c r="AX999" s="146"/>
      <c r="AY999" s="146"/>
      <c r="AZ999" s="145"/>
      <c r="BA999" s="146"/>
      <c r="BB999" s="145"/>
      <c r="BC999" s="145"/>
      <c r="BD999" s="145"/>
      <c r="BE999" s="145"/>
      <c r="BF999" s="145"/>
      <c r="BG999" s="145"/>
      <c r="BH999" s="145"/>
      <c r="BI999" s="145"/>
      <c r="BJ999" s="145"/>
      <c r="BK999" s="145"/>
    </row>
    <row r="1000" spans="1:63" s="147" customFormat="1" ht="15" x14ac:dyDescent="0.25">
      <c r="A1000" s="59"/>
      <c r="B1000" s="98"/>
      <c r="C1000" s="102" t="s">
        <v>63</v>
      </c>
      <c r="D1000" s="102"/>
      <c r="E1000" s="102"/>
      <c r="F1000" s="102"/>
      <c r="G1000" s="102"/>
      <c r="H1000" s="41"/>
      <c r="I1000" s="42"/>
      <c r="J1000" s="42"/>
      <c r="K1000" s="42"/>
      <c r="L1000" s="45"/>
      <c r="M1000" s="42"/>
      <c r="N1000" s="45"/>
      <c r="O1000" s="42"/>
      <c r="P1000" s="50">
        <v>5949.6629999999996</v>
      </c>
      <c r="Q1000" s="82"/>
      <c r="R1000" s="82"/>
      <c r="S1000" s="82"/>
      <c r="T1000" s="82"/>
      <c r="U1000" s="156"/>
      <c r="V1000" s="82"/>
      <c r="W1000" s="82"/>
      <c r="X1000" s="82"/>
      <c r="Y1000" s="82"/>
      <c r="Z1000" s="82"/>
      <c r="AA1000" s="82"/>
      <c r="AB1000" s="145"/>
      <c r="AC1000" s="145"/>
      <c r="AD1000" s="145"/>
      <c r="AE1000" s="145"/>
      <c r="AF1000" s="145"/>
      <c r="AG1000" s="145"/>
      <c r="AH1000" s="145"/>
      <c r="AI1000" s="145"/>
      <c r="AJ1000" s="145"/>
      <c r="AK1000" s="145"/>
      <c r="AL1000" s="145"/>
      <c r="AM1000" s="145"/>
      <c r="AN1000" s="145"/>
      <c r="AO1000" s="145"/>
      <c r="AP1000" s="145"/>
      <c r="AQ1000" s="145"/>
      <c r="AR1000" s="145"/>
      <c r="AS1000" s="145"/>
      <c r="AT1000" s="145"/>
      <c r="AU1000" s="145"/>
      <c r="AV1000" s="146"/>
      <c r="AW1000" s="146"/>
      <c r="AX1000" s="146"/>
      <c r="AY1000" s="146"/>
      <c r="AZ1000" s="145"/>
      <c r="BA1000" s="146"/>
      <c r="BB1000" s="145"/>
      <c r="BC1000" s="145"/>
      <c r="BD1000" s="145"/>
      <c r="BE1000" s="145"/>
      <c r="BF1000" s="145"/>
      <c r="BG1000" s="145"/>
      <c r="BH1000" s="145"/>
      <c r="BI1000" s="145"/>
      <c r="BJ1000" s="145"/>
      <c r="BK1000" s="145"/>
    </row>
    <row r="1001" spans="1:63" s="147" customFormat="1" ht="15" hidden="1" customHeight="1" x14ac:dyDescent="0.25">
      <c r="A1001" s="39" t="s">
        <v>285</v>
      </c>
      <c r="B1001" s="97" t="s">
        <v>317</v>
      </c>
      <c r="C1001" s="105" t="s">
        <v>318</v>
      </c>
      <c r="D1001" s="105"/>
      <c r="E1001" s="105"/>
      <c r="F1001" s="105"/>
      <c r="G1001" s="105"/>
      <c r="H1001" s="41" t="s">
        <v>83</v>
      </c>
      <c r="I1001" s="42">
        <v>3</v>
      </c>
      <c r="J1001" s="43">
        <v>1</v>
      </c>
      <c r="K1001" s="43">
        <v>3</v>
      </c>
      <c r="L1001" s="49">
        <v>2001.31</v>
      </c>
      <c r="M1001" s="62">
        <v>1.46</v>
      </c>
      <c r="N1001" s="49">
        <v>2921.91</v>
      </c>
      <c r="O1001" s="42"/>
      <c r="P1001" s="50">
        <v>0</v>
      </c>
      <c r="Q1001" s="82"/>
      <c r="R1001" s="82"/>
      <c r="S1001" s="82"/>
      <c r="T1001" s="82"/>
      <c r="U1001" s="156"/>
      <c r="V1001" s="82"/>
      <c r="W1001" s="152"/>
      <c r="X1001" s="82"/>
      <c r="Y1001" s="82"/>
      <c r="Z1001" s="82"/>
      <c r="AA1001" s="82"/>
      <c r="AB1001" s="145"/>
      <c r="AC1001" s="145"/>
      <c r="AD1001" s="145"/>
      <c r="AE1001" s="145"/>
      <c r="AF1001" s="145"/>
      <c r="AG1001" s="145"/>
      <c r="AH1001" s="145"/>
      <c r="AI1001" s="145"/>
      <c r="AJ1001" s="145"/>
      <c r="AK1001" s="145"/>
      <c r="AL1001" s="145"/>
      <c r="AM1001" s="145"/>
      <c r="AN1001" s="145"/>
      <c r="AO1001" s="145"/>
      <c r="AP1001" s="145"/>
      <c r="AQ1001" s="145"/>
      <c r="AR1001" s="145"/>
      <c r="AS1001" s="145"/>
      <c r="AT1001" s="145"/>
      <c r="AU1001" s="145"/>
      <c r="AV1001" s="146"/>
      <c r="AW1001" s="146"/>
      <c r="AX1001" s="146"/>
      <c r="AY1001" s="146"/>
      <c r="AZ1001" s="145"/>
      <c r="BA1001" s="146"/>
      <c r="BB1001" s="145"/>
      <c r="BC1001" s="145"/>
      <c r="BD1001" s="145"/>
      <c r="BE1001" s="145"/>
      <c r="BF1001" s="145"/>
      <c r="BG1001" s="145"/>
      <c r="BH1001" s="145"/>
      <c r="BI1001" s="145"/>
      <c r="BJ1001" s="145"/>
      <c r="BK1001" s="145"/>
    </row>
    <row r="1002" spans="1:63" s="147" customFormat="1" ht="15" hidden="1" customHeight="1" x14ac:dyDescent="0.25">
      <c r="A1002" s="59"/>
      <c r="B1002" s="98"/>
      <c r="C1002" s="106" t="s">
        <v>63</v>
      </c>
      <c r="D1002" s="106"/>
      <c r="E1002" s="106"/>
      <c r="F1002" s="106"/>
      <c r="G1002" s="106"/>
      <c r="H1002" s="41"/>
      <c r="I1002" s="42"/>
      <c r="J1002" s="42"/>
      <c r="K1002" s="42"/>
      <c r="L1002" s="45"/>
      <c r="M1002" s="42"/>
      <c r="N1002" s="45"/>
      <c r="O1002" s="42"/>
      <c r="P1002" s="50">
        <v>0</v>
      </c>
      <c r="Q1002" s="82"/>
      <c r="R1002" s="82"/>
      <c r="S1002" s="82"/>
      <c r="T1002" s="82"/>
      <c r="U1002" s="156"/>
      <c r="V1002" s="82"/>
      <c r="W1002" s="151"/>
      <c r="X1002" s="82"/>
      <c r="Y1002" s="82"/>
      <c r="Z1002" s="82"/>
      <c r="AA1002" s="82"/>
      <c r="AB1002" s="145"/>
      <c r="AC1002" s="145"/>
      <c r="AD1002" s="145"/>
      <c r="AE1002" s="145"/>
      <c r="AF1002" s="145"/>
      <c r="AG1002" s="145"/>
      <c r="AH1002" s="145"/>
      <c r="AI1002" s="145"/>
      <c r="AJ1002" s="145"/>
      <c r="AK1002" s="145"/>
      <c r="AL1002" s="145"/>
      <c r="AM1002" s="145"/>
      <c r="AN1002" s="145"/>
      <c r="AO1002" s="145"/>
      <c r="AP1002" s="145"/>
      <c r="AQ1002" s="145"/>
      <c r="AR1002" s="145"/>
      <c r="AS1002" s="145"/>
      <c r="AT1002" s="145"/>
      <c r="AU1002" s="145"/>
      <c r="AV1002" s="146"/>
      <c r="AW1002" s="146"/>
      <c r="AX1002" s="146"/>
      <c r="AY1002" s="146"/>
      <c r="AZ1002" s="145"/>
      <c r="BA1002" s="146"/>
      <c r="BB1002" s="145"/>
      <c r="BC1002" s="145"/>
      <c r="BD1002" s="145"/>
      <c r="BE1002" s="145"/>
      <c r="BF1002" s="145"/>
      <c r="BG1002" s="145"/>
      <c r="BH1002" s="145"/>
      <c r="BI1002" s="145"/>
      <c r="BJ1002" s="145"/>
      <c r="BK1002" s="145"/>
    </row>
    <row r="1003" spans="1:63" s="147" customFormat="1" ht="15" x14ac:dyDescent="0.25">
      <c r="A1003" s="39" t="s">
        <v>764</v>
      </c>
      <c r="B1003" s="97" t="s">
        <v>287</v>
      </c>
      <c r="C1003" s="103" t="s">
        <v>288</v>
      </c>
      <c r="D1003" s="103"/>
      <c r="E1003" s="103"/>
      <c r="F1003" s="103"/>
      <c r="G1003" s="103"/>
      <c r="H1003" s="41" t="s">
        <v>222</v>
      </c>
      <c r="I1003" s="42">
        <v>3</v>
      </c>
      <c r="J1003" s="43">
        <v>1</v>
      </c>
      <c r="K1003" s="43">
        <v>3</v>
      </c>
      <c r="L1003" s="49">
        <v>1164.77</v>
      </c>
      <c r="M1003" s="62">
        <v>1.1299999999999999</v>
      </c>
      <c r="N1003" s="49">
        <v>1316.19</v>
      </c>
      <c r="O1003" s="42"/>
      <c r="P1003" s="50">
        <v>4540.8554999999997</v>
      </c>
      <c r="Q1003" s="82"/>
      <c r="R1003" s="82"/>
      <c r="S1003" s="82"/>
      <c r="T1003" s="82"/>
      <c r="U1003" s="156"/>
      <c r="V1003" s="82"/>
      <c r="W1003" s="152"/>
      <c r="X1003" s="82"/>
      <c r="Y1003" s="82"/>
      <c r="Z1003" s="82"/>
      <c r="AA1003" s="82"/>
      <c r="AB1003" s="145"/>
      <c r="AC1003" s="145"/>
      <c r="AD1003" s="145"/>
      <c r="AE1003" s="145"/>
      <c r="AF1003" s="145"/>
      <c r="AG1003" s="145"/>
      <c r="AH1003" s="145"/>
      <c r="AI1003" s="145"/>
      <c r="AJ1003" s="145"/>
      <c r="AK1003" s="145"/>
      <c r="AL1003" s="145"/>
      <c r="AM1003" s="145"/>
      <c r="AN1003" s="145"/>
      <c r="AO1003" s="145"/>
      <c r="AP1003" s="145"/>
      <c r="AQ1003" s="145"/>
      <c r="AR1003" s="145"/>
      <c r="AS1003" s="145"/>
      <c r="AT1003" s="145"/>
      <c r="AU1003" s="145"/>
      <c r="AV1003" s="146"/>
      <c r="AW1003" s="146"/>
      <c r="AX1003" s="146"/>
      <c r="AY1003" s="146"/>
      <c r="AZ1003" s="145"/>
      <c r="BA1003" s="146"/>
      <c r="BB1003" s="145"/>
      <c r="BC1003" s="145"/>
      <c r="BD1003" s="145"/>
      <c r="BE1003" s="145"/>
      <c r="BF1003" s="145"/>
      <c r="BG1003" s="145"/>
      <c r="BH1003" s="145"/>
      <c r="BI1003" s="145"/>
      <c r="BJ1003" s="145"/>
      <c r="BK1003" s="145"/>
    </row>
    <row r="1004" spans="1:63" s="147" customFormat="1" ht="15" x14ac:dyDescent="0.25">
      <c r="A1004" s="59"/>
      <c r="B1004" s="98"/>
      <c r="C1004" s="102" t="s">
        <v>63</v>
      </c>
      <c r="D1004" s="102"/>
      <c r="E1004" s="102"/>
      <c r="F1004" s="102"/>
      <c r="G1004" s="102"/>
      <c r="H1004" s="41"/>
      <c r="I1004" s="42"/>
      <c r="J1004" s="42"/>
      <c r="K1004" s="42"/>
      <c r="L1004" s="45"/>
      <c r="M1004" s="42"/>
      <c r="N1004" s="45"/>
      <c r="O1004" s="42"/>
      <c r="P1004" s="50">
        <v>4540.8554999999997</v>
      </c>
      <c r="Q1004" s="82"/>
      <c r="R1004" s="82"/>
      <c r="S1004" s="82"/>
      <c r="T1004" s="82"/>
      <c r="U1004" s="156"/>
      <c r="V1004" s="82"/>
      <c r="W1004" s="151"/>
      <c r="X1004" s="82"/>
      <c r="Y1004" s="82"/>
      <c r="Z1004" s="82"/>
      <c r="AA1004" s="82"/>
      <c r="AB1004" s="145"/>
      <c r="AC1004" s="145"/>
      <c r="AD1004" s="145"/>
      <c r="AE1004" s="145"/>
      <c r="AF1004" s="145"/>
      <c r="AG1004" s="145"/>
      <c r="AH1004" s="145"/>
      <c r="AI1004" s="145"/>
      <c r="AJ1004" s="145"/>
      <c r="AK1004" s="145"/>
      <c r="AL1004" s="145"/>
      <c r="AM1004" s="145"/>
      <c r="AN1004" s="145"/>
      <c r="AO1004" s="145"/>
      <c r="AP1004" s="145"/>
      <c r="AQ1004" s="145"/>
      <c r="AR1004" s="145"/>
      <c r="AS1004" s="145"/>
      <c r="AT1004" s="145"/>
      <c r="AU1004" s="145"/>
      <c r="AV1004" s="146"/>
      <c r="AW1004" s="146"/>
      <c r="AX1004" s="146"/>
      <c r="AY1004" s="146"/>
      <c r="AZ1004" s="145"/>
      <c r="BA1004" s="146"/>
      <c r="BB1004" s="145"/>
      <c r="BC1004" s="145"/>
      <c r="BD1004" s="145"/>
      <c r="BE1004" s="145"/>
      <c r="BF1004" s="145"/>
      <c r="BG1004" s="145"/>
      <c r="BH1004" s="145"/>
      <c r="BI1004" s="145"/>
      <c r="BJ1004" s="145"/>
      <c r="BK1004" s="145"/>
    </row>
    <row r="1005" spans="1:63" s="147" customFormat="1" ht="15" x14ac:dyDescent="0.25">
      <c r="A1005" s="39" t="s">
        <v>765</v>
      </c>
      <c r="B1005" s="97" t="s">
        <v>290</v>
      </c>
      <c r="C1005" s="103" t="s">
        <v>291</v>
      </c>
      <c r="D1005" s="103"/>
      <c r="E1005" s="103"/>
      <c r="F1005" s="103"/>
      <c r="G1005" s="103"/>
      <c r="H1005" s="41" t="s">
        <v>292</v>
      </c>
      <c r="I1005" s="42">
        <v>0.9</v>
      </c>
      <c r="J1005" s="43">
        <v>1</v>
      </c>
      <c r="K1005" s="67">
        <v>0.9</v>
      </c>
      <c r="L1005" s="61">
        <v>565.04999999999995</v>
      </c>
      <c r="M1005" s="62">
        <v>1.1299999999999999</v>
      </c>
      <c r="N1005" s="61">
        <v>638.51</v>
      </c>
      <c r="O1005" s="42"/>
      <c r="P1005" s="50">
        <v>660.84749999999997</v>
      </c>
      <c r="Q1005" s="82"/>
      <c r="R1005" s="82"/>
      <c r="S1005" s="82"/>
      <c r="T1005" s="82"/>
      <c r="U1005" s="167"/>
      <c r="V1005" s="82"/>
      <c r="W1005" s="175"/>
      <c r="X1005" s="82"/>
      <c r="Y1005" s="82"/>
      <c r="Z1005" s="82"/>
      <c r="AA1005" s="82"/>
      <c r="AB1005" s="145"/>
      <c r="AC1005" s="145"/>
      <c r="AD1005" s="145"/>
      <c r="AE1005" s="145"/>
      <c r="AF1005" s="145"/>
      <c r="AG1005" s="145"/>
      <c r="AH1005" s="145"/>
      <c r="AI1005" s="145"/>
      <c r="AJ1005" s="145"/>
      <c r="AK1005" s="145"/>
      <c r="AL1005" s="145"/>
      <c r="AM1005" s="145"/>
      <c r="AN1005" s="145"/>
      <c r="AO1005" s="145"/>
      <c r="AP1005" s="145"/>
      <c r="AQ1005" s="145"/>
      <c r="AR1005" s="145"/>
      <c r="AS1005" s="145"/>
      <c r="AT1005" s="145"/>
      <c r="AU1005" s="145"/>
      <c r="AV1005" s="146"/>
      <c r="AW1005" s="146"/>
      <c r="AX1005" s="146"/>
      <c r="AY1005" s="146"/>
      <c r="AZ1005" s="145"/>
      <c r="BA1005" s="146"/>
      <c r="BB1005" s="145"/>
      <c r="BC1005" s="145"/>
      <c r="BD1005" s="145"/>
      <c r="BE1005" s="145"/>
      <c r="BF1005" s="145"/>
      <c r="BG1005" s="145"/>
      <c r="BH1005" s="145"/>
      <c r="BI1005" s="145"/>
      <c r="BJ1005" s="145"/>
      <c r="BK1005" s="145"/>
    </row>
    <row r="1006" spans="1:63" s="147" customFormat="1" ht="15" x14ac:dyDescent="0.25">
      <c r="A1006" s="59"/>
      <c r="B1006" s="98"/>
      <c r="C1006" s="102" t="s">
        <v>63</v>
      </c>
      <c r="D1006" s="102"/>
      <c r="E1006" s="102"/>
      <c r="F1006" s="102"/>
      <c r="G1006" s="102"/>
      <c r="H1006" s="41"/>
      <c r="I1006" s="42"/>
      <c r="J1006" s="42"/>
      <c r="K1006" s="42"/>
      <c r="L1006" s="45"/>
      <c r="M1006" s="42"/>
      <c r="N1006" s="45"/>
      <c r="O1006" s="42"/>
      <c r="P1006" s="50">
        <v>660.84749999999997</v>
      </c>
      <c r="Q1006" s="82"/>
      <c r="R1006" s="82"/>
      <c r="S1006" s="82"/>
      <c r="T1006" s="82"/>
      <c r="U1006" s="167"/>
      <c r="V1006" s="82"/>
      <c r="W1006" s="151"/>
      <c r="X1006" s="82"/>
      <c r="Y1006" s="82"/>
      <c r="Z1006" s="82"/>
      <c r="AA1006" s="82"/>
      <c r="AB1006" s="145"/>
      <c r="AC1006" s="145"/>
      <c r="AD1006" s="145"/>
      <c r="AE1006" s="145"/>
      <c r="AF1006" s="145"/>
      <c r="AG1006" s="145"/>
      <c r="AH1006" s="145"/>
      <c r="AI1006" s="145"/>
      <c r="AJ1006" s="145"/>
      <c r="AK1006" s="145"/>
      <c r="AL1006" s="145"/>
      <c r="AM1006" s="145"/>
      <c r="AN1006" s="145"/>
      <c r="AO1006" s="145"/>
      <c r="AP1006" s="145"/>
      <c r="AQ1006" s="145"/>
      <c r="AR1006" s="145"/>
      <c r="AS1006" s="145"/>
      <c r="AT1006" s="145"/>
      <c r="AU1006" s="145"/>
      <c r="AV1006" s="146"/>
      <c r="AW1006" s="146"/>
      <c r="AX1006" s="146"/>
      <c r="AY1006" s="146"/>
      <c r="AZ1006" s="145"/>
      <c r="BA1006" s="146"/>
      <c r="BB1006" s="145"/>
      <c r="BC1006" s="145"/>
      <c r="BD1006" s="145"/>
      <c r="BE1006" s="145"/>
      <c r="BF1006" s="145"/>
      <c r="BG1006" s="145"/>
      <c r="BH1006" s="145"/>
      <c r="BI1006" s="145"/>
      <c r="BJ1006" s="145"/>
      <c r="BK1006" s="145"/>
    </row>
    <row r="1007" spans="1:63" s="147" customFormat="1" ht="15" x14ac:dyDescent="0.25">
      <c r="A1007" s="39" t="s">
        <v>766</v>
      </c>
      <c r="B1007" s="97" t="s">
        <v>294</v>
      </c>
      <c r="C1007" s="103" t="s">
        <v>295</v>
      </c>
      <c r="D1007" s="103"/>
      <c r="E1007" s="103"/>
      <c r="F1007" s="103"/>
      <c r="G1007" s="103"/>
      <c r="H1007" s="41" t="s">
        <v>83</v>
      </c>
      <c r="I1007" s="42">
        <v>9</v>
      </c>
      <c r="J1007" s="43">
        <v>1</v>
      </c>
      <c r="K1007" s="43">
        <v>9</v>
      </c>
      <c r="L1007" s="61">
        <v>279.64999999999998</v>
      </c>
      <c r="M1007" s="62">
        <v>1.36</v>
      </c>
      <c r="N1007" s="61">
        <v>380.32</v>
      </c>
      <c r="O1007" s="42"/>
      <c r="P1007" s="50">
        <v>6837.6239999999998</v>
      </c>
      <c r="Q1007" s="82"/>
      <c r="R1007" s="82"/>
      <c r="S1007" s="82"/>
      <c r="T1007" s="82"/>
      <c r="U1007" s="156"/>
      <c r="V1007" s="82"/>
      <c r="W1007" s="152"/>
      <c r="X1007" s="82"/>
      <c r="Y1007" s="82"/>
      <c r="Z1007" s="82"/>
      <c r="AA1007" s="82"/>
      <c r="AB1007" s="145"/>
      <c r="AC1007" s="145"/>
      <c r="AD1007" s="145"/>
      <c r="AE1007" s="145"/>
      <c r="AF1007" s="145"/>
      <c r="AG1007" s="145"/>
      <c r="AH1007" s="145"/>
      <c r="AI1007" s="145"/>
      <c r="AJ1007" s="145"/>
      <c r="AK1007" s="145"/>
      <c r="AL1007" s="145"/>
      <c r="AM1007" s="145"/>
      <c r="AN1007" s="145"/>
      <c r="AO1007" s="145"/>
      <c r="AP1007" s="145"/>
      <c r="AQ1007" s="145"/>
      <c r="AR1007" s="145"/>
      <c r="AS1007" s="145"/>
      <c r="AT1007" s="145"/>
      <c r="AU1007" s="145"/>
      <c r="AV1007" s="146"/>
      <c r="AW1007" s="146"/>
      <c r="AX1007" s="146"/>
      <c r="AY1007" s="146"/>
      <c r="AZ1007" s="145"/>
      <c r="BA1007" s="146"/>
      <c r="BB1007" s="145"/>
      <c r="BC1007" s="145"/>
      <c r="BD1007" s="145"/>
      <c r="BE1007" s="145"/>
      <c r="BF1007" s="145"/>
      <c r="BG1007" s="145"/>
      <c r="BH1007" s="145"/>
      <c r="BI1007" s="145"/>
      <c r="BJ1007" s="145"/>
      <c r="BK1007" s="145"/>
    </row>
    <row r="1008" spans="1:63" s="147" customFormat="1" ht="15" x14ac:dyDescent="0.25">
      <c r="A1008" s="59"/>
      <c r="B1008" s="98"/>
      <c r="C1008" s="102" t="s">
        <v>63</v>
      </c>
      <c r="D1008" s="102"/>
      <c r="E1008" s="102"/>
      <c r="F1008" s="102"/>
      <c r="G1008" s="102"/>
      <c r="H1008" s="41"/>
      <c r="I1008" s="42"/>
      <c r="J1008" s="42"/>
      <c r="K1008" s="42"/>
      <c r="L1008" s="45"/>
      <c r="M1008" s="42"/>
      <c r="N1008" s="45"/>
      <c r="O1008" s="42"/>
      <c r="P1008" s="50">
        <v>6837.6239999999998</v>
      </c>
      <c r="Q1008" s="82"/>
      <c r="R1008" s="82"/>
      <c r="S1008" s="82"/>
      <c r="T1008" s="82"/>
      <c r="U1008" s="156"/>
      <c r="V1008" s="82"/>
      <c r="W1008" s="82"/>
      <c r="X1008" s="82"/>
      <c r="Y1008" s="82"/>
      <c r="Z1008" s="82"/>
      <c r="AA1008" s="82"/>
      <c r="AB1008" s="145"/>
      <c r="AC1008" s="145"/>
      <c r="AD1008" s="145"/>
      <c r="AE1008" s="145"/>
      <c r="AF1008" s="145"/>
      <c r="AG1008" s="145"/>
      <c r="AH1008" s="145"/>
      <c r="AI1008" s="145"/>
      <c r="AJ1008" s="145"/>
      <c r="AK1008" s="145"/>
      <c r="AL1008" s="145"/>
      <c r="AM1008" s="145"/>
      <c r="AN1008" s="145"/>
      <c r="AO1008" s="145"/>
      <c r="AP1008" s="145"/>
      <c r="AQ1008" s="145"/>
      <c r="AR1008" s="145"/>
      <c r="AS1008" s="145"/>
      <c r="AT1008" s="145"/>
      <c r="AU1008" s="145"/>
      <c r="AV1008" s="146"/>
      <c r="AW1008" s="146"/>
      <c r="AX1008" s="146"/>
      <c r="AY1008" s="146"/>
      <c r="AZ1008" s="145"/>
      <c r="BA1008" s="146"/>
      <c r="BB1008" s="145"/>
      <c r="BC1008" s="145"/>
      <c r="BD1008" s="145"/>
      <c r="BE1008" s="145"/>
      <c r="BF1008" s="145"/>
      <c r="BG1008" s="145"/>
      <c r="BH1008" s="145"/>
      <c r="BI1008" s="145"/>
      <c r="BJ1008" s="145"/>
      <c r="BK1008" s="145"/>
    </row>
    <row r="1009" spans="1:63" s="147" customFormat="1" ht="0" hidden="1" customHeight="1" x14ac:dyDescent="0.25">
      <c r="A1009" s="70"/>
      <c r="B1009" s="71"/>
      <c r="C1009" s="71"/>
      <c r="D1009" s="71"/>
      <c r="E1009" s="71"/>
      <c r="F1009" s="72"/>
      <c r="G1009" s="72"/>
      <c r="H1009" s="72"/>
      <c r="I1009" s="72"/>
      <c r="J1009" s="73"/>
      <c r="K1009" s="72"/>
      <c r="L1009" s="72"/>
      <c r="M1009" s="72"/>
      <c r="N1009" s="73"/>
      <c r="O1009" s="74"/>
      <c r="P1009" s="50">
        <v>0</v>
      </c>
      <c r="Q1009" s="82"/>
      <c r="R1009" s="82"/>
      <c r="S1009" s="82"/>
      <c r="T1009" s="82"/>
      <c r="U1009" s="153"/>
      <c r="V1009" s="82"/>
      <c r="W1009" s="82"/>
      <c r="X1009" s="82"/>
      <c r="Y1009" s="82"/>
      <c r="Z1009" s="82"/>
      <c r="AA1009" s="82"/>
      <c r="AB1009" s="145"/>
      <c r="AC1009" s="145"/>
      <c r="AD1009" s="145"/>
      <c r="AE1009" s="145"/>
      <c r="AF1009" s="145"/>
      <c r="AG1009" s="145"/>
      <c r="AH1009" s="145"/>
      <c r="AI1009" s="145"/>
      <c r="AJ1009" s="145"/>
      <c r="AK1009" s="145"/>
      <c r="AL1009" s="145"/>
      <c r="AM1009" s="145"/>
      <c r="AN1009" s="145"/>
      <c r="AO1009" s="145"/>
      <c r="AP1009" s="145"/>
      <c r="AQ1009" s="145"/>
      <c r="AR1009" s="145"/>
      <c r="AS1009" s="145"/>
      <c r="AT1009" s="145"/>
      <c r="AU1009" s="145"/>
      <c r="AV1009" s="146"/>
      <c r="AW1009" s="146"/>
      <c r="AX1009" s="146"/>
      <c r="AY1009" s="146"/>
      <c r="AZ1009" s="145"/>
      <c r="BA1009" s="146"/>
      <c r="BB1009" s="145"/>
      <c r="BC1009" s="145"/>
      <c r="BD1009" s="145"/>
      <c r="BE1009" s="145"/>
      <c r="BF1009" s="145"/>
      <c r="BG1009" s="145"/>
      <c r="BH1009" s="145"/>
      <c r="BI1009" s="145"/>
      <c r="BJ1009" s="145"/>
      <c r="BK1009" s="145"/>
    </row>
    <row r="1010" spans="1:63" s="147" customFormat="1" ht="15" x14ac:dyDescent="0.25">
      <c r="A1010" s="39" t="s">
        <v>767</v>
      </c>
      <c r="B1010" s="97" t="s">
        <v>313</v>
      </c>
      <c r="C1010" s="103" t="s">
        <v>312</v>
      </c>
      <c r="D1010" s="103"/>
      <c r="E1010" s="103"/>
      <c r="F1010" s="103"/>
      <c r="G1010" s="103"/>
      <c r="H1010" s="41" t="s">
        <v>75</v>
      </c>
      <c r="I1010" s="42">
        <v>0.03</v>
      </c>
      <c r="J1010" s="43">
        <v>1</v>
      </c>
      <c r="K1010" s="62">
        <v>0.03</v>
      </c>
      <c r="L1010" s="45"/>
      <c r="M1010" s="42"/>
      <c r="N1010" s="45"/>
      <c r="O1010" s="42"/>
      <c r="P1010" s="50">
        <v>0</v>
      </c>
      <c r="Q1010" s="82"/>
      <c r="R1010" s="82"/>
      <c r="S1010" s="82"/>
      <c r="T1010" s="82"/>
      <c r="U1010" s="153"/>
      <c r="V1010" s="82"/>
      <c r="W1010" s="168"/>
      <c r="X1010" s="82"/>
      <c r="Y1010" s="82"/>
      <c r="Z1010" s="82"/>
      <c r="AA1010" s="82"/>
      <c r="AB1010" s="145"/>
      <c r="AC1010" s="145"/>
      <c r="AD1010" s="145"/>
      <c r="AE1010" s="145"/>
      <c r="AF1010" s="145"/>
      <c r="AG1010" s="145"/>
      <c r="AH1010" s="145"/>
      <c r="AI1010" s="145"/>
      <c r="AJ1010" s="145"/>
      <c r="AK1010" s="145"/>
      <c r="AL1010" s="145"/>
      <c r="AM1010" s="145"/>
      <c r="AN1010" s="145"/>
      <c r="AO1010" s="145"/>
      <c r="AP1010" s="145"/>
      <c r="AQ1010" s="145"/>
      <c r="AR1010" s="145"/>
      <c r="AS1010" s="145"/>
      <c r="AT1010" s="145"/>
      <c r="AU1010" s="145"/>
      <c r="AV1010" s="146"/>
      <c r="AW1010" s="146"/>
      <c r="AX1010" s="146"/>
      <c r="AY1010" s="146"/>
      <c r="AZ1010" s="145"/>
      <c r="BA1010" s="146"/>
      <c r="BB1010" s="145"/>
      <c r="BC1010" s="145"/>
      <c r="BD1010" s="145"/>
      <c r="BE1010" s="145"/>
      <c r="BF1010" s="145"/>
      <c r="BG1010" s="145"/>
      <c r="BH1010" s="145"/>
      <c r="BI1010" s="145"/>
      <c r="BJ1010" s="145"/>
      <c r="BK1010" s="145"/>
    </row>
    <row r="1011" spans="1:63" s="147" customFormat="1" ht="15" x14ac:dyDescent="0.25">
      <c r="A1011" s="47"/>
      <c r="B1011" s="48"/>
      <c r="C1011" s="102" t="s">
        <v>56</v>
      </c>
      <c r="D1011" s="102"/>
      <c r="E1011" s="102"/>
      <c r="F1011" s="102"/>
      <c r="G1011" s="102"/>
      <c r="H1011" s="41"/>
      <c r="I1011" s="42"/>
      <c r="J1011" s="42"/>
      <c r="K1011" s="42"/>
      <c r="L1011" s="45"/>
      <c r="M1011" s="42"/>
      <c r="N1011" s="49"/>
      <c r="O1011" s="42"/>
      <c r="P1011" s="50">
        <v>2405.2824999999998</v>
      </c>
      <c r="Q1011" s="157"/>
      <c r="R1011" s="157"/>
      <c r="S1011" s="82"/>
      <c r="T1011" s="82"/>
      <c r="U1011" s="156"/>
      <c r="V1011" s="82"/>
      <c r="W1011" s="151"/>
      <c r="X1011" s="82"/>
      <c r="Y1011" s="82"/>
      <c r="Z1011" s="82"/>
      <c r="AA1011" s="82"/>
      <c r="AB1011" s="145"/>
      <c r="AC1011" s="145"/>
      <c r="AD1011" s="145"/>
      <c r="AE1011" s="145"/>
      <c r="AF1011" s="145"/>
      <c r="AG1011" s="145"/>
      <c r="AH1011" s="145"/>
      <c r="AI1011" s="145"/>
      <c r="AJ1011" s="145"/>
      <c r="AK1011" s="145"/>
      <c r="AL1011" s="145"/>
      <c r="AM1011" s="145"/>
      <c r="AN1011" s="145"/>
      <c r="AO1011" s="145"/>
      <c r="AP1011" s="145"/>
      <c r="AQ1011" s="145"/>
      <c r="AR1011" s="145"/>
      <c r="AS1011" s="145"/>
      <c r="AT1011" s="145"/>
      <c r="AU1011" s="145"/>
      <c r="AV1011" s="146"/>
      <c r="AW1011" s="146"/>
      <c r="AX1011" s="146"/>
      <c r="AY1011" s="146"/>
      <c r="AZ1011" s="145"/>
      <c r="BA1011" s="146"/>
      <c r="BB1011" s="145"/>
      <c r="BC1011" s="145"/>
      <c r="BD1011" s="145"/>
      <c r="BE1011" s="145"/>
      <c r="BF1011" s="145"/>
      <c r="BG1011" s="145"/>
      <c r="BH1011" s="145"/>
      <c r="BI1011" s="145"/>
      <c r="BJ1011" s="145"/>
      <c r="BK1011" s="145"/>
    </row>
    <row r="1012" spans="1:63" s="147" customFormat="1" ht="15" x14ac:dyDescent="0.25">
      <c r="A1012" s="52"/>
      <c r="B1012" s="53"/>
      <c r="C1012" s="104" t="s">
        <v>57</v>
      </c>
      <c r="D1012" s="104"/>
      <c r="E1012" s="104"/>
      <c r="F1012" s="104"/>
      <c r="G1012" s="104"/>
      <c r="H1012" s="54"/>
      <c r="I1012" s="55"/>
      <c r="J1012" s="55"/>
      <c r="K1012" s="55"/>
      <c r="L1012" s="56"/>
      <c r="M1012" s="55"/>
      <c r="N1012" s="56"/>
      <c r="O1012" s="55"/>
      <c r="P1012" s="77">
        <v>1917.7860000000001</v>
      </c>
      <c r="Q1012" s="82"/>
      <c r="R1012" s="82"/>
      <c r="S1012" s="82"/>
      <c r="T1012" s="82"/>
      <c r="U1012" s="163"/>
      <c r="V1012" s="82"/>
      <c r="W1012" s="160"/>
      <c r="X1012" s="82"/>
      <c r="Y1012" s="82"/>
      <c r="Z1012" s="82"/>
      <c r="AA1012" s="82"/>
      <c r="AB1012" s="145"/>
      <c r="AC1012" s="145"/>
      <c r="AD1012" s="145"/>
      <c r="AE1012" s="145"/>
      <c r="AF1012" s="145"/>
      <c r="AG1012" s="145"/>
      <c r="AH1012" s="145"/>
      <c r="AI1012" s="145"/>
      <c r="AJ1012" s="145"/>
      <c r="AK1012" s="145"/>
      <c r="AL1012" s="145"/>
      <c r="AM1012" s="145"/>
      <c r="AN1012" s="145"/>
      <c r="AO1012" s="145"/>
      <c r="AP1012" s="145"/>
      <c r="AQ1012" s="145"/>
      <c r="AR1012" s="145"/>
      <c r="AS1012" s="145"/>
      <c r="AT1012" s="145"/>
      <c r="AU1012" s="145"/>
      <c r="AV1012" s="146"/>
      <c r="AW1012" s="146"/>
      <c r="AX1012" s="146"/>
      <c r="AY1012" s="146"/>
      <c r="AZ1012" s="145"/>
      <c r="BA1012" s="146"/>
      <c r="BB1012" s="145"/>
      <c r="BC1012" s="145"/>
      <c r="BD1012" s="145"/>
      <c r="BE1012" s="145"/>
      <c r="BF1012" s="145"/>
      <c r="BG1012" s="145"/>
      <c r="BH1012" s="145"/>
      <c r="BI1012" s="145"/>
      <c r="BJ1012" s="145"/>
      <c r="BK1012" s="145"/>
    </row>
    <row r="1013" spans="1:63" s="147" customFormat="1" ht="15" x14ac:dyDescent="0.25">
      <c r="A1013" s="52"/>
      <c r="B1013" s="53" t="s">
        <v>225</v>
      </c>
      <c r="C1013" s="104" t="s">
        <v>226</v>
      </c>
      <c r="D1013" s="104"/>
      <c r="E1013" s="104"/>
      <c r="F1013" s="104"/>
      <c r="G1013" s="104"/>
      <c r="H1013" s="54" t="s">
        <v>60</v>
      </c>
      <c r="I1013" s="58">
        <v>103</v>
      </c>
      <c r="J1013" s="55"/>
      <c r="K1013" s="58">
        <v>103</v>
      </c>
      <c r="L1013" s="56"/>
      <c r="M1013" s="55"/>
      <c r="N1013" s="56"/>
      <c r="O1013" s="55"/>
      <c r="P1013" s="77">
        <v>1975.3205</v>
      </c>
      <c r="Q1013" s="82"/>
      <c r="R1013" s="82"/>
      <c r="S1013" s="82"/>
      <c r="T1013" s="82"/>
      <c r="U1013" s="163"/>
      <c r="V1013" s="82"/>
      <c r="W1013" s="164"/>
      <c r="X1013" s="82"/>
      <c r="Y1013" s="82"/>
      <c r="Z1013" s="82"/>
      <c r="AA1013" s="82"/>
      <c r="AB1013" s="145"/>
      <c r="AC1013" s="145"/>
      <c r="AD1013" s="145"/>
      <c r="AE1013" s="145"/>
      <c r="AF1013" s="145"/>
      <c r="AG1013" s="145"/>
      <c r="AH1013" s="145"/>
      <c r="AI1013" s="145"/>
      <c r="AJ1013" s="145"/>
      <c r="AK1013" s="145"/>
      <c r="AL1013" s="145"/>
      <c r="AM1013" s="145"/>
      <c r="AN1013" s="145"/>
      <c r="AO1013" s="145"/>
      <c r="AP1013" s="145"/>
      <c r="AQ1013" s="145"/>
      <c r="AR1013" s="145"/>
      <c r="AS1013" s="145"/>
      <c r="AT1013" s="145"/>
      <c r="AU1013" s="145"/>
      <c r="AV1013" s="146"/>
      <c r="AW1013" s="146"/>
      <c r="AX1013" s="146"/>
      <c r="AY1013" s="146"/>
      <c r="AZ1013" s="145"/>
      <c r="BA1013" s="146"/>
      <c r="BB1013" s="145"/>
      <c r="BC1013" s="145"/>
      <c r="BD1013" s="145"/>
      <c r="BE1013" s="145"/>
      <c r="BF1013" s="145"/>
      <c r="BG1013" s="145"/>
      <c r="BH1013" s="145"/>
      <c r="BI1013" s="145"/>
      <c r="BJ1013" s="145"/>
      <c r="BK1013" s="145"/>
    </row>
    <row r="1014" spans="1:63" s="147" customFormat="1" ht="15" x14ac:dyDescent="0.25">
      <c r="A1014" s="52"/>
      <c r="B1014" s="53" t="s">
        <v>227</v>
      </c>
      <c r="C1014" s="104" t="s">
        <v>228</v>
      </c>
      <c r="D1014" s="104"/>
      <c r="E1014" s="104"/>
      <c r="F1014" s="104"/>
      <c r="G1014" s="104"/>
      <c r="H1014" s="54" t="s">
        <v>60</v>
      </c>
      <c r="I1014" s="58">
        <v>52</v>
      </c>
      <c r="J1014" s="55"/>
      <c r="K1014" s="58">
        <v>52</v>
      </c>
      <c r="L1014" s="56"/>
      <c r="M1014" s="55"/>
      <c r="N1014" s="56"/>
      <c r="O1014" s="55"/>
      <c r="P1014" s="77">
        <v>997.24549999999988</v>
      </c>
      <c r="Q1014" s="82"/>
      <c r="R1014" s="82"/>
      <c r="S1014" s="82"/>
      <c r="T1014" s="82"/>
      <c r="U1014" s="170"/>
      <c r="V1014" s="82"/>
      <c r="W1014" s="164"/>
      <c r="X1014" s="82"/>
      <c r="Y1014" s="82"/>
      <c r="Z1014" s="82"/>
      <c r="AA1014" s="82"/>
      <c r="AB1014" s="145"/>
      <c r="AC1014" s="145"/>
      <c r="AD1014" s="145"/>
      <c r="AE1014" s="145"/>
      <c r="AF1014" s="145"/>
      <c r="AG1014" s="145"/>
      <c r="AH1014" s="145"/>
      <c r="AI1014" s="145"/>
      <c r="AJ1014" s="145"/>
      <c r="AK1014" s="145"/>
      <c r="AL1014" s="145"/>
      <c r="AM1014" s="145"/>
      <c r="AN1014" s="145"/>
      <c r="AO1014" s="145"/>
      <c r="AP1014" s="145"/>
      <c r="AQ1014" s="145"/>
      <c r="AR1014" s="145"/>
      <c r="AS1014" s="145"/>
      <c r="AT1014" s="145"/>
      <c r="AU1014" s="145"/>
      <c r="AV1014" s="146"/>
      <c r="AW1014" s="146"/>
      <c r="AX1014" s="146"/>
      <c r="AY1014" s="146"/>
      <c r="AZ1014" s="145"/>
      <c r="BA1014" s="146"/>
      <c r="BB1014" s="145"/>
      <c r="BC1014" s="145"/>
      <c r="BD1014" s="145"/>
      <c r="BE1014" s="145"/>
      <c r="BF1014" s="145"/>
      <c r="BG1014" s="145"/>
      <c r="BH1014" s="145"/>
      <c r="BI1014" s="145"/>
      <c r="BJ1014" s="145"/>
      <c r="BK1014" s="145"/>
    </row>
    <row r="1015" spans="1:63" s="147" customFormat="1" ht="15" x14ac:dyDescent="0.25">
      <c r="A1015" s="59"/>
      <c r="B1015" s="98"/>
      <c r="C1015" s="102" t="s">
        <v>63</v>
      </c>
      <c r="D1015" s="102"/>
      <c r="E1015" s="102"/>
      <c r="F1015" s="102"/>
      <c r="G1015" s="102"/>
      <c r="H1015" s="41"/>
      <c r="I1015" s="42"/>
      <c r="J1015" s="42"/>
      <c r="K1015" s="42"/>
      <c r="L1015" s="45"/>
      <c r="M1015" s="42"/>
      <c r="N1015" s="49">
        <f>P1015/K1010</f>
        <v>63926.28333333334</v>
      </c>
      <c r="O1015" s="42"/>
      <c r="P1015" s="50">
        <v>1917.7885000000001</v>
      </c>
      <c r="Q1015" s="82"/>
      <c r="R1015" s="82"/>
      <c r="S1015" s="82"/>
      <c r="T1015" s="82"/>
      <c r="U1015" s="156"/>
      <c r="V1015" s="82"/>
      <c r="W1015" s="151"/>
      <c r="X1015" s="82"/>
      <c r="Y1015" s="82"/>
      <c r="Z1015" s="82"/>
      <c r="AA1015" s="82"/>
      <c r="AB1015" s="145"/>
      <c r="AC1015" s="145"/>
      <c r="AD1015" s="145"/>
      <c r="AE1015" s="145"/>
      <c r="AF1015" s="145"/>
      <c r="AG1015" s="145"/>
      <c r="AH1015" s="145"/>
      <c r="AI1015" s="145"/>
      <c r="AJ1015" s="145"/>
      <c r="AK1015" s="145"/>
      <c r="AL1015" s="145"/>
      <c r="AM1015" s="145"/>
      <c r="AN1015" s="145"/>
      <c r="AO1015" s="145"/>
      <c r="AP1015" s="145"/>
      <c r="AQ1015" s="145"/>
      <c r="AR1015" s="145"/>
      <c r="AS1015" s="145"/>
      <c r="AT1015" s="145"/>
      <c r="AU1015" s="145"/>
      <c r="AV1015" s="146"/>
      <c r="AW1015" s="146"/>
      <c r="AX1015" s="146"/>
      <c r="AY1015" s="146"/>
      <c r="AZ1015" s="145"/>
      <c r="BA1015" s="146"/>
      <c r="BB1015" s="145"/>
      <c r="BC1015" s="145"/>
      <c r="BD1015" s="145"/>
      <c r="BE1015" s="145"/>
      <c r="BF1015" s="145"/>
      <c r="BG1015" s="145"/>
      <c r="BH1015" s="145"/>
      <c r="BI1015" s="145"/>
      <c r="BJ1015" s="145"/>
      <c r="BK1015" s="145"/>
    </row>
    <row r="1016" spans="1:63" s="147" customFormat="1" ht="15" x14ac:dyDescent="0.25">
      <c r="A1016" s="39" t="s">
        <v>768</v>
      </c>
      <c r="B1016" s="97" t="s">
        <v>314</v>
      </c>
      <c r="C1016" s="103" t="s">
        <v>315</v>
      </c>
      <c r="D1016" s="103"/>
      <c r="E1016" s="103"/>
      <c r="F1016" s="103"/>
      <c r="G1016" s="103"/>
      <c r="H1016" s="41" t="s">
        <v>83</v>
      </c>
      <c r="I1016" s="42">
        <v>3</v>
      </c>
      <c r="J1016" s="43">
        <v>1</v>
      </c>
      <c r="K1016" s="43">
        <v>3</v>
      </c>
      <c r="L1016" s="49">
        <f>N1016/M1016</f>
        <v>4144.2009132420089</v>
      </c>
      <c r="M1016" s="62">
        <v>1.46</v>
      </c>
      <c r="N1016" s="49">
        <f>P1016/K1016</f>
        <v>6050.5333333333328</v>
      </c>
      <c r="O1016" s="42"/>
      <c r="P1016" s="50">
        <v>18151.599999999999</v>
      </c>
      <c r="Q1016" s="82"/>
      <c r="R1016" s="82"/>
      <c r="S1016" s="82"/>
      <c r="T1016" s="82"/>
      <c r="U1016" s="156"/>
      <c r="V1016" s="82"/>
      <c r="W1016" s="152"/>
      <c r="X1016" s="82"/>
      <c r="Y1016" s="82"/>
      <c r="Z1016" s="82"/>
      <c r="AA1016" s="82"/>
      <c r="AB1016" s="145"/>
      <c r="AC1016" s="145"/>
      <c r="AD1016" s="145"/>
      <c r="AE1016" s="145"/>
      <c r="AF1016" s="145"/>
      <c r="AG1016" s="145"/>
      <c r="AH1016" s="145"/>
      <c r="AI1016" s="145"/>
      <c r="AJ1016" s="145"/>
      <c r="AK1016" s="145"/>
      <c r="AL1016" s="145"/>
      <c r="AM1016" s="145"/>
      <c r="AN1016" s="145"/>
      <c r="AO1016" s="145"/>
      <c r="AP1016" s="145"/>
      <c r="AQ1016" s="145"/>
      <c r="AR1016" s="145"/>
      <c r="AS1016" s="145"/>
      <c r="AT1016" s="145"/>
      <c r="AU1016" s="145"/>
      <c r="AV1016" s="146"/>
      <c r="AW1016" s="146"/>
      <c r="AX1016" s="146"/>
      <c r="AY1016" s="146"/>
      <c r="AZ1016" s="145"/>
      <c r="BA1016" s="146"/>
      <c r="BB1016" s="145"/>
      <c r="BC1016" s="145"/>
      <c r="BD1016" s="145"/>
      <c r="BE1016" s="145"/>
      <c r="BF1016" s="145"/>
      <c r="BG1016" s="145"/>
      <c r="BH1016" s="145"/>
      <c r="BI1016" s="145"/>
      <c r="BJ1016" s="145"/>
      <c r="BK1016" s="145"/>
    </row>
    <row r="1017" spans="1:63" s="147" customFormat="1" ht="15" customHeight="1" x14ac:dyDescent="0.25">
      <c r="A1017" s="252" t="s">
        <v>582</v>
      </c>
      <c r="B1017" s="141"/>
      <c r="C1017" s="141"/>
      <c r="D1017" s="141"/>
      <c r="E1017" s="141"/>
      <c r="F1017" s="141"/>
      <c r="G1017" s="141"/>
      <c r="H1017" s="141"/>
      <c r="I1017" s="141"/>
      <c r="J1017" s="141"/>
      <c r="K1017" s="141"/>
      <c r="L1017" s="141"/>
      <c r="M1017" s="141"/>
      <c r="N1017" s="141"/>
      <c r="O1017" s="141"/>
      <c r="P1017" s="91">
        <v>452815.76433383406</v>
      </c>
      <c r="Q1017" s="182"/>
      <c r="R1017" s="182"/>
      <c r="S1017" s="82"/>
      <c r="T1017" s="82"/>
      <c r="U1017" s="162"/>
      <c r="V1017" s="82"/>
      <c r="W1017" s="82"/>
      <c r="X1017" s="82"/>
      <c r="Y1017" s="82"/>
      <c r="Z1017" s="82"/>
      <c r="AA1017" s="82"/>
      <c r="AB1017" s="145"/>
      <c r="AC1017" s="145"/>
      <c r="AD1017" s="145"/>
      <c r="AE1017" s="145"/>
      <c r="AF1017" s="145"/>
      <c r="AG1017" s="145"/>
      <c r="AH1017" s="145"/>
      <c r="AI1017" s="145"/>
      <c r="AJ1017" s="145"/>
      <c r="AK1017" s="145"/>
      <c r="AL1017" s="145"/>
      <c r="AM1017" s="145"/>
      <c r="AN1017" s="145"/>
      <c r="AO1017" s="145"/>
      <c r="AP1017" s="145"/>
      <c r="AQ1017" s="145"/>
      <c r="AR1017" s="145"/>
      <c r="AS1017" s="145"/>
      <c r="AT1017" s="145"/>
      <c r="AU1017" s="145"/>
      <c r="AV1017" s="145"/>
      <c r="AW1017" s="145"/>
      <c r="AX1017" s="145"/>
      <c r="AY1017" s="145"/>
      <c r="AZ1017" s="145"/>
      <c r="BA1017" s="145"/>
      <c r="BB1017" s="146"/>
      <c r="BC1017" s="183"/>
      <c r="BD1017" s="183"/>
      <c r="BE1017" s="146"/>
      <c r="BF1017" s="145"/>
      <c r="BG1017" s="145"/>
      <c r="BH1017" s="145"/>
      <c r="BI1017" s="145"/>
      <c r="BJ1017" s="145"/>
      <c r="BK1017" s="145"/>
    </row>
    <row r="1018" spans="1:63" s="19" customFormat="1" ht="15" x14ac:dyDescent="0.25">
      <c r="A1018" s="253" t="s">
        <v>320</v>
      </c>
      <c r="B1018" s="254"/>
      <c r="C1018" s="254"/>
      <c r="D1018" s="254"/>
      <c r="E1018" s="254"/>
      <c r="F1018" s="254"/>
      <c r="G1018" s="254"/>
      <c r="H1018" s="254"/>
      <c r="I1018" s="254"/>
      <c r="J1018" s="254"/>
      <c r="K1018" s="254"/>
      <c r="L1018" s="254"/>
      <c r="M1018" s="254"/>
      <c r="N1018" s="254"/>
      <c r="O1018" s="254"/>
      <c r="P1018" s="255"/>
      <c r="Q1018"/>
      <c r="R1018"/>
      <c r="S1018"/>
      <c r="T1018"/>
      <c r="U1018"/>
      <c r="V1018"/>
      <c r="W1018"/>
      <c r="X1018"/>
      <c r="Y1018"/>
      <c r="Z1018"/>
      <c r="AA1018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38" t="s">
        <v>50</v>
      </c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</row>
    <row r="1019" spans="1:63" s="19" customFormat="1" ht="15" x14ac:dyDescent="0.25">
      <c r="A1019" s="107" t="s">
        <v>51</v>
      </c>
      <c r="B1019" s="108"/>
      <c r="C1019" s="108"/>
      <c r="D1019" s="108"/>
      <c r="E1019" s="108"/>
      <c r="F1019" s="108"/>
      <c r="G1019" s="108"/>
      <c r="H1019" s="108"/>
      <c r="I1019" s="108"/>
      <c r="J1019" s="108"/>
      <c r="K1019" s="108"/>
      <c r="L1019" s="108"/>
      <c r="M1019" s="108"/>
      <c r="N1019" s="108"/>
      <c r="O1019" s="108"/>
      <c r="P1019" s="109"/>
      <c r="Q1019"/>
      <c r="R1019"/>
      <c r="S1019"/>
      <c r="T1019"/>
      <c r="U1019"/>
      <c r="V1019"/>
      <c r="W1019"/>
      <c r="X1019"/>
      <c r="Y1019"/>
      <c r="Z1019"/>
      <c r="AA1019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38"/>
      <c r="AW1019" s="38" t="s">
        <v>51</v>
      </c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</row>
    <row r="1020" spans="1:63" s="19" customFormat="1" ht="23.25" x14ac:dyDescent="0.25">
      <c r="A1020" s="39" t="s">
        <v>769</v>
      </c>
      <c r="B1020" s="97" t="s">
        <v>53</v>
      </c>
      <c r="C1020" s="103" t="s">
        <v>54</v>
      </c>
      <c r="D1020" s="103"/>
      <c r="E1020" s="103"/>
      <c r="F1020" s="103"/>
      <c r="G1020" s="103"/>
      <c r="H1020" s="41" t="s">
        <v>55</v>
      </c>
      <c r="I1020" s="42">
        <v>0.17899999999999999</v>
      </c>
      <c r="J1020" s="43">
        <v>1</v>
      </c>
      <c r="K1020" s="42">
        <v>0.17899999999999999</v>
      </c>
      <c r="L1020" s="45"/>
      <c r="M1020" s="42"/>
      <c r="N1020" s="45"/>
      <c r="O1020" s="42"/>
      <c r="P1020" s="46"/>
      <c r="Q1020"/>
      <c r="R1020"/>
      <c r="S1020"/>
      <c r="T1020"/>
      <c r="U1020"/>
      <c r="V1020"/>
      <c r="W1020"/>
      <c r="X1020"/>
      <c r="Y1020"/>
      <c r="Z1020"/>
      <c r="AA1020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38"/>
      <c r="AW1020" s="38"/>
      <c r="AX1020" s="38" t="s">
        <v>54</v>
      </c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</row>
    <row r="1021" spans="1:63" s="19" customFormat="1" ht="15" x14ac:dyDescent="0.25">
      <c r="A1021" s="47"/>
      <c r="B1021" s="48"/>
      <c r="C1021" s="102" t="s">
        <v>56</v>
      </c>
      <c r="D1021" s="102"/>
      <c r="E1021" s="102"/>
      <c r="F1021" s="102"/>
      <c r="G1021" s="102"/>
      <c r="H1021" s="41"/>
      <c r="I1021" s="42"/>
      <c r="J1021" s="42"/>
      <c r="K1021" s="42"/>
      <c r="L1021" s="45"/>
      <c r="M1021" s="42"/>
      <c r="N1021" s="49"/>
      <c r="O1021" s="42"/>
      <c r="P1021" s="50">
        <v>3911.55</v>
      </c>
      <c r="Q1021" s="51"/>
      <c r="R1021" s="51"/>
      <c r="S1021"/>
      <c r="T1021">
        <f>T1258</f>
        <v>0</v>
      </c>
      <c r="U1021" s="50">
        <f>3401.35</f>
        <v>3401.35</v>
      </c>
      <c r="V1021"/>
      <c r="X1021"/>
      <c r="Y1021"/>
      <c r="Z1021"/>
      <c r="AA1021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38"/>
      <c r="AW1021" s="38"/>
      <c r="AX1021" s="38"/>
      <c r="AY1021" s="38" t="s">
        <v>56</v>
      </c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</row>
    <row r="1022" spans="1:63" s="19" customFormat="1" ht="15" x14ac:dyDescent="0.25">
      <c r="A1022" s="52"/>
      <c r="B1022" s="53"/>
      <c r="C1022" s="104" t="s">
        <v>57</v>
      </c>
      <c r="D1022" s="104"/>
      <c r="E1022" s="104"/>
      <c r="F1022" s="104"/>
      <c r="G1022" s="104"/>
      <c r="H1022" s="54"/>
      <c r="I1022" s="55"/>
      <c r="J1022" s="55"/>
      <c r="K1022" s="55"/>
      <c r="L1022" s="56"/>
      <c r="M1022" s="55"/>
      <c r="N1022" s="56"/>
      <c r="O1022" s="55"/>
      <c r="P1022" s="77">
        <v>3212.38</v>
      </c>
      <c r="Q1022"/>
      <c r="R1022"/>
      <c r="S1022"/>
      <c r="T1022">
        <f>T1258</f>
        <v>0</v>
      </c>
      <c r="U1022" s="57">
        <v>2793.37</v>
      </c>
      <c r="V1022"/>
      <c r="W1022" s="42"/>
      <c r="X1022"/>
      <c r="Y1022"/>
      <c r="Z1022"/>
      <c r="AA1022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38"/>
      <c r="AW1022" s="38"/>
      <c r="AX1022" s="38"/>
      <c r="AY1022" s="38"/>
      <c r="AZ1022" s="6" t="s">
        <v>57</v>
      </c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</row>
    <row r="1023" spans="1:63" s="19" customFormat="1" ht="15" x14ac:dyDescent="0.25">
      <c r="A1023" s="52"/>
      <c r="B1023" s="53" t="s">
        <v>58</v>
      </c>
      <c r="C1023" s="104" t="s">
        <v>59</v>
      </c>
      <c r="D1023" s="104"/>
      <c r="E1023" s="104"/>
      <c r="F1023" s="104"/>
      <c r="G1023" s="104"/>
      <c r="H1023" s="54" t="s">
        <v>60</v>
      </c>
      <c r="I1023" s="58">
        <v>100</v>
      </c>
      <c r="J1023" s="55"/>
      <c r="K1023" s="58">
        <v>100</v>
      </c>
      <c r="L1023" s="56"/>
      <c r="M1023" s="55"/>
      <c r="N1023" s="56"/>
      <c r="O1023" s="55"/>
      <c r="P1023" s="77">
        <v>3212.38</v>
      </c>
      <c r="Q1023"/>
      <c r="R1023"/>
      <c r="S1023"/>
      <c r="T1023">
        <f>T1258</f>
        <v>0</v>
      </c>
      <c r="U1023" s="57">
        <v>2793.37</v>
      </c>
      <c r="V1023"/>
      <c r="W1023" s="55"/>
      <c r="X1023"/>
      <c r="Y1023"/>
      <c r="Z1023"/>
      <c r="AA1023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38"/>
      <c r="AW1023" s="38"/>
      <c r="AX1023" s="38"/>
      <c r="AY1023" s="38"/>
      <c r="AZ1023" s="6" t="s">
        <v>59</v>
      </c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</row>
    <row r="1024" spans="1:63" s="19" customFormat="1" ht="15" x14ac:dyDescent="0.25">
      <c r="A1024" s="52"/>
      <c r="B1024" s="53" t="s">
        <v>61</v>
      </c>
      <c r="C1024" s="104" t="s">
        <v>62</v>
      </c>
      <c r="D1024" s="104"/>
      <c r="E1024" s="104"/>
      <c r="F1024" s="104"/>
      <c r="G1024" s="104"/>
      <c r="H1024" s="54" t="s">
        <v>60</v>
      </c>
      <c r="I1024" s="58">
        <v>49</v>
      </c>
      <c r="J1024" s="55"/>
      <c r="K1024" s="58">
        <v>49</v>
      </c>
      <c r="L1024" s="56"/>
      <c r="M1024" s="55"/>
      <c r="N1024" s="56"/>
      <c r="O1024" s="55"/>
      <c r="P1024" s="77">
        <v>1574.06</v>
      </c>
      <c r="Q1024"/>
      <c r="R1024"/>
      <c r="S1024"/>
      <c r="T1024" s="79">
        <f t="shared" ref="T1024" si="6">T1258</f>
        <v>0</v>
      </c>
      <c r="U1024" s="57">
        <v>1368.75</v>
      </c>
      <c r="V1024"/>
      <c r="W1024" s="58"/>
      <c r="X1024"/>
      <c r="Y1024"/>
      <c r="Z1024"/>
      <c r="AA1024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38"/>
      <c r="AW1024" s="38"/>
      <c r="AX1024" s="38"/>
      <c r="AY1024" s="38"/>
      <c r="AZ1024" s="6" t="s">
        <v>62</v>
      </c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</row>
    <row r="1025" spans="1:63" s="19" customFormat="1" ht="15" x14ac:dyDescent="0.25">
      <c r="A1025" s="59"/>
      <c r="B1025" s="98"/>
      <c r="C1025" s="102" t="s">
        <v>63</v>
      </c>
      <c r="D1025" s="102"/>
      <c r="E1025" s="102"/>
      <c r="F1025" s="102"/>
      <c r="G1025" s="102"/>
      <c r="H1025" s="41"/>
      <c r="I1025" s="42"/>
      <c r="J1025" s="42"/>
      <c r="K1025" s="42"/>
      <c r="L1025" s="45"/>
      <c r="M1025" s="42"/>
      <c r="N1025" s="49">
        <v>64479.71</v>
      </c>
      <c r="O1025" s="42"/>
      <c r="P1025" s="91">
        <v>8697.99</v>
      </c>
      <c r="Q1025"/>
      <c r="R1025"/>
      <c r="S1025"/>
      <c r="T1025">
        <f>T1258</f>
        <v>0</v>
      </c>
      <c r="U1025" s="50">
        <f>7563.47*(K1020/W1025)</f>
        <v>7438.7974175824174</v>
      </c>
      <c r="V1025"/>
      <c r="W1025" s="42">
        <v>0.182</v>
      </c>
      <c r="X1025"/>
      <c r="Y1025"/>
      <c r="Z1025"/>
      <c r="AA1025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38"/>
      <c r="AW1025" s="38"/>
      <c r="AX1025" s="38"/>
      <c r="AY1025" s="38"/>
      <c r="AZ1025" s="6"/>
      <c r="BA1025" s="38" t="s">
        <v>63</v>
      </c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</row>
    <row r="1026" spans="1:63" s="19" customFormat="1" ht="23.25" x14ac:dyDescent="0.25">
      <c r="A1026" s="39" t="s">
        <v>770</v>
      </c>
      <c r="B1026" s="97" t="s">
        <v>65</v>
      </c>
      <c r="C1026" s="103" t="s">
        <v>66</v>
      </c>
      <c r="D1026" s="103"/>
      <c r="E1026" s="103"/>
      <c r="F1026" s="103"/>
      <c r="G1026" s="103"/>
      <c r="H1026" s="41" t="s">
        <v>67</v>
      </c>
      <c r="I1026" s="42">
        <f>2.5806*1.5</f>
        <v>3.8708999999999998</v>
      </c>
      <c r="J1026" s="43">
        <v>1</v>
      </c>
      <c r="K1026" s="44">
        <f>I1026</f>
        <v>3.8708999999999998</v>
      </c>
      <c r="L1026" s="61">
        <v>68.290000000000006</v>
      </c>
      <c r="M1026" s="62">
        <v>1.72</v>
      </c>
      <c r="N1026" s="61">
        <v>117.46</v>
      </c>
      <c r="O1026" s="42"/>
      <c r="P1026" s="50">
        <v>522.88</v>
      </c>
      <c r="Q1026"/>
      <c r="R1026"/>
      <c r="S1026"/>
      <c r="T1026" s="79">
        <f>T1258</f>
        <v>0</v>
      </c>
      <c r="U1026" s="63">
        <f>U1027</f>
        <v>454.68</v>
      </c>
      <c r="V1026"/>
      <c r="W1026" s="42"/>
      <c r="X1026"/>
      <c r="Y1026"/>
      <c r="Z1026"/>
      <c r="AA102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38"/>
      <c r="AW1026" s="38"/>
      <c r="AX1026" s="38" t="s">
        <v>66</v>
      </c>
      <c r="AY1026" s="38"/>
      <c r="AZ1026" s="6"/>
      <c r="BA1026" s="38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</row>
    <row r="1027" spans="1:63" s="19" customFormat="1" ht="15" x14ac:dyDescent="0.25">
      <c r="A1027" s="59"/>
      <c r="B1027" s="98"/>
      <c r="C1027" s="102" t="s">
        <v>63</v>
      </c>
      <c r="D1027" s="102"/>
      <c r="E1027" s="102"/>
      <c r="F1027" s="102"/>
      <c r="G1027" s="102"/>
      <c r="H1027" s="41"/>
      <c r="I1027" s="42"/>
      <c r="J1027" s="42"/>
      <c r="K1027" s="42"/>
      <c r="L1027" s="45"/>
      <c r="M1027" s="42"/>
      <c r="N1027" s="45"/>
      <c r="O1027" s="42"/>
      <c r="P1027" s="50">
        <v>522.88</v>
      </c>
      <c r="Q1027"/>
      <c r="R1027"/>
      <c r="S1027"/>
      <c r="T1027" s="79">
        <f>T1258</f>
        <v>0</v>
      </c>
      <c r="U1027" s="63">
        <f>303.12*(K1026/W1027)</f>
        <v>454.68</v>
      </c>
      <c r="V1027"/>
      <c r="W1027" s="44">
        <v>2.5806</v>
      </c>
      <c r="X1027"/>
      <c r="Y1027"/>
      <c r="Z1027"/>
      <c r="AA1027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38"/>
      <c r="AW1027" s="38"/>
      <c r="AX1027" s="38"/>
      <c r="AY1027" s="38"/>
      <c r="AZ1027" s="6"/>
      <c r="BA1027" s="38" t="s">
        <v>63</v>
      </c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</row>
    <row r="1028" spans="1:63" s="19" customFormat="1" ht="15" x14ac:dyDescent="0.25">
      <c r="A1028" s="39" t="s">
        <v>771</v>
      </c>
      <c r="B1028" s="97" t="s">
        <v>69</v>
      </c>
      <c r="C1028" s="103" t="s">
        <v>70</v>
      </c>
      <c r="D1028" s="103"/>
      <c r="E1028" s="103"/>
      <c r="F1028" s="103"/>
      <c r="G1028" s="103"/>
      <c r="H1028" s="41" t="s">
        <v>71</v>
      </c>
      <c r="I1028" s="42">
        <f>0.0038709*1.5</f>
        <v>5.8063500000000001E-3</v>
      </c>
      <c r="J1028" s="43">
        <v>1</v>
      </c>
      <c r="K1028" s="64">
        <f>I1028</f>
        <v>5.8063500000000001E-3</v>
      </c>
      <c r="L1028" s="49">
        <v>52265.82</v>
      </c>
      <c r="M1028" s="62">
        <v>1.81</v>
      </c>
      <c r="N1028" s="49">
        <v>94601.13</v>
      </c>
      <c r="O1028" s="42"/>
      <c r="P1028" s="50">
        <v>631.67999999999995</v>
      </c>
      <c r="Q1028"/>
      <c r="R1028"/>
      <c r="S1028"/>
      <c r="T1028" s="79">
        <f>T1258</f>
        <v>0</v>
      </c>
      <c r="U1028" s="63">
        <f>366.19*(K1028/W1029)</f>
        <v>549.28499999999997</v>
      </c>
      <c r="V1028"/>
      <c r="W1028" s="42"/>
      <c r="X1028"/>
      <c r="Y1028"/>
      <c r="Z1028"/>
      <c r="AA1028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38"/>
      <c r="AW1028" s="38"/>
      <c r="AX1028" s="38" t="s">
        <v>70</v>
      </c>
      <c r="AY1028" s="38"/>
      <c r="AZ1028" s="6"/>
      <c r="BA1028" s="38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</row>
    <row r="1029" spans="1:63" s="19" customFormat="1" ht="15" x14ac:dyDescent="0.25">
      <c r="A1029" s="59"/>
      <c r="B1029" s="98"/>
      <c r="C1029" s="102" t="s">
        <v>63</v>
      </c>
      <c r="D1029" s="102"/>
      <c r="E1029" s="102"/>
      <c r="F1029" s="102"/>
      <c r="G1029" s="102"/>
      <c r="H1029" s="41"/>
      <c r="I1029" s="42"/>
      <c r="J1029" s="42"/>
      <c r="K1029" s="42"/>
      <c r="L1029" s="45"/>
      <c r="M1029" s="42"/>
      <c r="N1029" s="45"/>
      <c r="O1029" s="42"/>
      <c r="P1029" s="50">
        <v>631.67999999999995</v>
      </c>
      <c r="Q1029"/>
      <c r="R1029"/>
      <c r="S1029"/>
      <c r="T1029" s="79">
        <f>T1258</f>
        <v>0</v>
      </c>
      <c r="U1029" s="63">
        <f>U1028</f>
        <v>549.28499999999997</v>
      </c>
      <c r="V1029"/>
      <c r="W1029" s="64">
        <v>3.8709E-3</v>
      </c>
      <c r="X1029"/>
      <c r="Y1029"/>
      <c r="Z1029"/>
      <c r="AA1029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38"/>
      <c r="AW1029" s="38"/>
      <c r="AX1029" s="38"/>
      <c r="AY1029" s="38"/>
      <c r="AZ1029" s="6"/>
      <c r="BA1029" s="38" t="s">
        <v>63</v>
      </c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</row>
    <row r="1030" spans="1:63" s="19" customFormat="1" ht="15" x14ac:dyDescent="0.25">
      <c r="A1030" s="39" t="s">
        <v>772</v>
      </c>
      <c r="B1030" s="97" t="s">
        <v>73</v>
      </c>
      <c r="C1030" s="103" t="s">
        <v>74</v>
      </c>
      <c r="D1030" s="103"/>
      <c r="E1030" s="103"/>
      <c r="F1030" s="103"/>
      <c r="G1030" s="103"/>
      <c r="H1030" s="41" t="s">
        <v>75</v>
      </c>
      <c r="I1030" s="42">
        <v>0.03</v>
      </c>
      <c r="J1030" s="43">
        <v>1</v>
      </c>
      <c r="K1030" s="62">
        <v>0.03</v>
      </c>
      <c r="L1030" s="45"/>
      <c r="M1030" s="42"/>
      <c r="N1030" s="45"/>
      <c r="O1030" s="42"/>
      <c r="P1030" s="50"/>
      <c r="Q1030"/>
      <c r="R1030"/>
      <c r="S1030"/>
      <c r="T1030" s="79">
        <f>T1258</f>
        <v>0</v>
      </c>
      <c r="U1030" s="46"/>
      <c r="V1030"/>
      <c r="W1030" s="42"/>
      <c r="X1030"/>
      <c r="Y1030"/>
      <c r="Z1030"/>
      <c r="AA1030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38"/>
      <c r="AW1030" s="38"/>
      <c r="AX1030" s="38" t="s">
        <v>74</v>
      </c>
      <c r="AY1030" s="38"/>
      <c r="AZ1030" s="6"/>
      <c r="BA1030" s="38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</row>
    <row r="1031" spans="1:63" s="19" customFormat="1" ht="15" x14ac:dyDescent="0.25">
      <c r="A1031" s="47"/>
      <c r="B1031" s="48"/>
      <c r="C1031" s="102" t="s">
        <v>56</v>
      </c>
      <c r="D1031" s="102"/>
      <c r="E1031" s="102"/>
      <c r="F1031" s="102"/>
      <c r="G1031" s="102"/>
      <c r="H1031" s="41"/>
      <c r="I1031" s="42"/>
      <c r="J1031" s="42"/>
      <c r="K1031" s="42"/>
      <c r="L1031" s="45"/>
      <c r="M1031" s="42"/>
      <c r="N1031" s="49"/>
      <c r="O1031" s="42"/>
      <c r="P1031" s="50">
        <v>1555.34</v>
      </c>
      <c r="Q1031" s="51"/>
      <c r="R1031" s="51"/>
      <c r="S1031"/>
      <c r="T1031" s="79">
        <f>T1258</f>
        <v>0</v>
      </c>
      <c r="U1031" s="50">
        <v>1352.47</v>
      </c>
      <c r="V1031"/>
      <c r="W1031" s="62">
        <v>0.02</v>
      </c>
      <c r="X1031"/>
      <c r="Y1031"/>
      <c r="Z1031"/>
      <c r="AA1031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38"/>
      <c r="AW1031" s="38"/>
      <c r="AX1031" s="38"/>
      <c r="AY1031" s="38" t="s">
        <v>56</v>
      </c>
      <c r="AZ1031" s="6"/>
      <c r="BA1031" s="38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</row>
    <row r="1032" spans="1:63" s="19" customFormat="1" ht="15" x14ac:dyDescent="0.25">
      <c r="A1032" s="52"/>
      <c r="B1032" s="53"/>
      <c r="C1032" s="104" t="s">
        <v>57</v>
      </c>
      <c r="D1032" s="104"/>
      <c r="E1032" s="104"/>
      <c r="F1032" s="104"/>
      <c r="G1032" s="104"/>
      <c r="H1032" s="54"/>
      <c r="I1032" s="55"/>
      <c r="J1032" s="55"/>
      <c r="K1032" s="55"/>
      <c r="L1032" s="56"/>
      <c r="M1032" s="55"/>
      <c r="N1032" s="56"/>
      <c r="O1032" s="55"/>
      <c r="P1032" s="77">
        <v>1555.25</v>
      </c>
      <c r="Q1032"/>
      <c r="R1032"/>
      <c r="S1032"/>
      <c r="T1032" s="79">
        <f>T1258</f>
        <v>0</v>
      </c>
      <c r="U1032" s="57">
        <v>1352.39</v>
      </c>
      <c r="V1032"/>
      <c r="W1032" s="42"/>
      <c r="X1032"/>
      <c r="Y1032"/>
      <c r="Z1032"/>
      <c r="AA1032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38"/>
      <c r="AW1032" s="38"/>
      <c r="AX1032" s="38"/>
      <c r="AY1032" s="38"/>
      <c r="AZ1032" s="6" t="s">
        <v>57</v>
      </c>
      <c r="BA1032" s="38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</row>
    <row r="1033" spans="1:63" s="19" customFormat="1" ht="15" x14ac:dyDescent="0.25">
      <c r="A1033" s="52"/>
      <c r="B1033" s="53" t="s">
        <v>76</v>
      </c>
      <c r="C1033" s="104" t="s">
        <v>77</v>
      </c>
      <c r="D1033" s="104"/>
      <c r="E1033" s="104"/>
      <c r="F1033" s="104"/>
      <c r="G1033" s="104"/>
      <c r="H1033" s="54" t="s">
        <v>60</v>
      </c>
      <c r="I1033" s="58">
        <v>91</v>
      </c>
      <c r="J1033" s="55"/>
      <c r="K1033" s="58">
        <v>91</v>
      </c>
      <c r="L1033" s="56"/>
      <c r="M1033" s="55"/>
      <c r="N1033" s="56"/>
      <c r="O1033" s="55"/>
      <c r="P1033" s="77">
        <v>1415.27</v>
      </c>
      <c r="Q1033"/>
      <c r="R1033"/>
      <c r="S1033"/>
      <c r="T1033" s="79">
        <f>T1258</f>
        <v>0</v>
      </c>
      <c r="U1033" s="57">
        <v>1230.67</v>
      </c>
      <c r="V1033"/>
      <c r="W1033" s="55"/>
      <c r="X1033"/>
      <c r="Y1033"/>
      <c r="Z1033"/>
      <c r="AA1033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38"/>
      <c r="AW1033" s="38"/>
      <c r="AX1033" s="38"/>
      <c r="AY1033" s="38"/>
      <c r="AZ1033" s="6" t="s">
        <v>77</v>
      </c>
      <c r="BA1033" s="38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</row>
    <row r="1034" spans="1:63" s="19" customFormat="1" ht="15" x14ac:dyDescent="0.25">
      <c r="A1034" s="52"/>
      <c r="B1034" s="53" t="s">
        <v>78</v>
      </c>
      <c r="C1034" s="104" t="s">
        <v>79</v>
      </c>
      <c r="D1034" s="104"/>
      <c r="E1034" s="104"/>
      <c r="F1034" s="104"/>
      <c r="G1034" s="104"/>
      <c r="H1034" s="54" t="s">
        <v>60</v>
      </c>
      <c r="I1034" s="58">
        <v>48</v>
      </c>
      <c r="J1034" s="55"/>
      <c r="K1034" s="58">
        <v>48</v>
      </c>
      <c r="L1034" s="56"/>
      <c r="M1034" s="55"/>
      <c r="N1034" s="56"/>
      <c r="O1034" s="55"/>
      <c r="P1034" s="77">
        <v>746.52249999999992</v>
      </c>
      <c r="Q1034"/>
      <c r="R1034"/>
      <c r="S1034"/>
      <c r="T1034" s="79">
        <f>T1258</f>
        <v>0</v>
      </c>
      <c r="U1034" s="65">
        <v>649.15</v>
      </c>
      <c r="V1034"/>
      <c r="W1034" s="58">
        <v>91</v>
      </c>
      <c r="X1034"/>
      <c r="Y1034"/>
      <c r="Z1034"/>
      <c r="AA1034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38"/>
      <c r="AW1034" s="38"/>
      <c r="AX1034" s="38"/>
      <c r="AY1034" s="38"/>
      <c r="AZ1034" s="6" t="s">
        <v>79</v>
      </c>
      <c r="BA1034" s="38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</row>
    <row r="1035" spans="1:63" s="19" customFormat="1" ht="15" x14ac:dyDescent="0.25">
      <c r="A1035" s="59"/>
      <c r="B1035" s="98"/>
      <c r="C1035" s="102" t="s">
        <v>63</v>
      </c>
      <c r="D1035" s="102"/>
      <c r="E1035" s="102"/>
      <c r="F1035" s="102"/>
      <c r="G1035" s="102"/>
      <c r="H1035" s="41"/>
      <c r="I1035" s="42"/>
      <c r="J1035" s="42"/>
      <c r="K1035" s="42"/>
      <c r="L1035" s="45"/>
      <c r="M1035" s="42"/>
      <c r="N1035" s="49">
        <v>161614.5</v>
      </c>
      <c r="O1035" s="42"/>
      <c r="P1035" s="50">
        <v>3717.1334999999995</v>
      </c>
      <c r="Q1035"/>
      <c r="R1035"/>
      <c r="S1035"/>
      <c r="T1035" s="79">
        <f>T1258</f>
        <v>0</v>
      </c>
      <c r="U1035" s="50">
        <f>3232.29*(W1031/K1030)</f>
        <v>2154.86</v>
      </c>
      <c r="V1035"/>
      <c r="W1035" s="58">
        <v>48</v>
      </c>
      <c r="X1035"/>
      <c r="Y1035"/>
      <c r="Z1035"/>
      <c r="AA1035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38"/>
      <c r="AW1035" s="38"/>
      <c r="AX1035" s="38"/>
      <c r="AY1035" s="38"/>
      <c r="AZ1035" s="6"/>
      <c r="BA1035" s="38" t="s">
        <v>63</v>
      </c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</row>
    <row r="1036" spans="1:63" s="19" customFormat="1" ht="34.5" x14ac:dyDescent="0.25">
      <c r="A1036" s="39" t="s">
        <v>773</v>
      </c>
      <c r="B1036" s="97" t="s">
        <v>81</v>
      </c>
      <c r="C1036" s="103" t="s">
        <v>82</v>
      </c>
      <c r="D1036" s="103"/>
      <c r="E1036" s="103"/>
      <c r="F1036" s="103"/>
      <c r="G1036" s="103"/>
      <c r="H1036" s="41" t="s">
        <v>83</v>
      </c>
      <c r="I1036" s="42">
        <v>3</v>
      </c>
      <c r="J1036" s="43">
        <v>1</v>
      </c>
      <c r="K1036" s="43">
        <v>3</v>
      </c>
      <c r="L1036" s="49">
        <v>3579.75</v>
      </c>
      <c r="M1036" s="62">
        <v>1.41</v>
      </c>
      <c r="N1036" s="49">
        <v>5047.45</v>
      </c>
      <c r="O1036" s="42"/>
      <c r="P1036" s="50">
        <v>11609.134999999998</v>
      </c>
      <c r="Q1036"/>
      <c r="R1036"/>
      <c r="S1036"/>
      <c r="T1036">
        <f>T1258</f>
        <v>0</v>
      </c>
      <c r="U1036" s="50">
        <f>U1037</f>
        <v>15142.349999999999</v>
      </c>
      <c r="V1036"/>
      <c r="W1036" s="42"/>
      <c r="X1036"/>
      <c r="Y1036"/>
      <c r="Z1036"/>
      <c r="AA103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38"/>
      <c r="AW1036" s="38"/>
      <c r="AX1036" s="38" t="s">
        <v>82</v>
      </c>
      <c r="AY1036" s="38"/>
      <c r="AZ1036" s="6"/>
      <c r="BA1036" s="38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</row>
    <row r="1037" spans="1:63" s="19" customFormat="1" ht="15" x14ac:dyDescent="0.25">
      <c r="A1037" s="59"/>
      <c r="B1037" s="98"/>
      <c r="C1037" s="102" t="s">
        <v>63</v>
      </c>
      <c r="D1037" s="102"/>
      <c r="E1037" s="102"/>
      <c r="F1037" s="102"/>
      <c r="G1037" s="102"/>
      <c r="H1037" s="41"/>
      <c r="I1037" s="42"/>
      <c r="J1037" s="42"/>
      <c r="K1037" s="42"/>
      <c r="L1037" s="45"/>
      <c r="M1037" s="42"/>
      <c r="N1037" s="45"/>
      <c r="O1037" s="42"/>
      <c r="P1037" s="50">
        <v>11609.134999999998</v>
      </c>
      <c r="Q1037"/>
      <c r="R1037"/>
      <c r="S1037"/>
      <c r="T1037">
        <f>T1258</f>
        <v>0</v>
      </c>
      <c r="U1037" s="50">
        <f>10094.9*(K1036/W1037)</f>
        <v>15142.349999999999</v>
      </c>
      <c r="V1037"/>
      <c r="W1037" s="43">
        <v>2</v>
      </c>
      <c r="X1037"/>
      <c r="Y1037"/>
      <c r="Z1037"/>
      <c r="AA1037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38"/>
      <c r="AW1037" s="38"/>
      <c r="AX1037" s="38"/>
      <c r="AY1037" s="38"/>
      <c r="AZ1037" s="6"/>
      <c r="BA1037" s="38" t="s">
        <v>63</v>
      </c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</row>
    <row r="1038" spans="1:63" s="19" customFormat="1" ht="15" x14ac:dyDescent="0.25">
      <c r="A1038" s="39" t="s">
        <v>774</v>
      </c>
      <c r="B1038" s="97" t="s">
        <v>85</v>
      </c>
      <c r="C1038" s="103" t="s">
        <v>86</v>
      </c>
      <c r="D1038" s="103"/>
      <c r="E1038" s="103"/>
      <c r="F1038" s="103"/>
      <c r="G1038" s="103"/>
      <c r="H1038" s="41" t="s">
        <v>75</v>
      </c>
      <c r="I1038" s="42">
        <v>0.02</v>
      </c>
      <c r="J1038" s="43">
        <v>1</v>
      </c>
      <c r="K1038" s="62">
        <v>0.02</v>
      </c>
      <c r="L1038" s="45"/>
      <c r="M1038" s="42"/>
      <c r="N1038" s="45"/>
      <c r="O1038" s="42"/>
      <c r="P1038" s="50"/>
      <c r="Q1038"/>
      <c r="R1038"/>
      <c r="S1038"/>
      <c r="T1038">
        <f>T1258</f>
        <v>0</v>
      </c>
      <c r="U1038" s="46"/>
      <c r="V1038"/>
      <c r="W1038" s="42"/>
      <c r="X1038"/>
      <c r="Y1038"/>
      <c r="Z1038"/>
      <c r="AA1038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38"/>
      <c r="AW1038" s="38"/>
      <c r="AX1038" s="38" t="s">
        <v>86</v>
      </c>
      <c r="AY1038" s="38"/>
      <c r="AZ1038" s="6"/>
      <c r="BA1038" s="38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</row>
    <row r="1039" spans="1:63" s="19" customFormat="1" ht="15" x14ac:dyDescent="0.25">
      <c r="A1039" s="47"/>
      <c r="B1039" s="48"/>
      <c r="C1039" s="102" t="s">
        <v>56</v>
      </c>
      <c r="D1039" s="102"/>
      <c r="E1039" s="102"/>
      <c r="F1039" s="102"/>
      <c r="G1039" s="102"/>
      <c r="H1039" s="41"/>
      <c r="I1039" s="42"/>
      <c r="J1039" s="42"/>
      <c r="K1039" s="42"/>
      <c r="L1039" s="45"/>
      <c r="M1039" s="42"/>
      <c r="N1039" s="49"/>
      <c r="O1039" s="42"/>
      <c r="P1039" s="50">
        <v>216.5795</v>
      </c>
      <c r="Q1039" s="51"/>
      <c r="R1039" s="51"/>
      <c r="S1039"/>
      <c r="T1039">
        <f>T1258</f>
        <v>0</v>
      </c>
      <c r="U1039" s="50">
        <v>188.33</v>
      </c>
      <c r="V1039"/>
      <c r="W1039" s="62">
        <v>0.02</v>
      </c>
      <c r="X1039"/>
      <c r="Y1039"/>
      <c r="Z1039"/>
      <c r="AA1039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38"/>
      <c r="AW1039" s="38"/>
      <c r="AX1039" s="38"/>
      <c r="AY1039" s="38" t="s">
        <v>56</v>
      </c>
      <c r="AZ1039" s="6"/>
      <c r="BA1039" s="38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</row>
    <row r="1040" spans="1:63" s="19" customFormat="1" ht="15" x14ac:dyDescent="0.25">
      <c r="A1040" s="52"/>
      <c r="B1040" s="53"/>
      <c r="C1040" s="104" t="s">
        <v>57</v>
      </c>
      <c r="D1040" s="104"/>
      <c r="E1040" s="104"/>
      <c r="F1040" s="104"/>
      <c r="G1040" s="104"/>
      <c r="H1040" s="54"/>
      <c r="I1040" s="55"/>
      <c r="J1040" s="55"/>
      <c r="K1040" s="55"/>
      <c r="L1040" s="56"/>
      <c r="M1040" s="55"/>
      <c r="N1040" s="56"/>
      <c r="O1040" s="55"/>
      <c r="P1040" s="77">
        <v>216.5795</v>
      </c>
      <c r="Q1040"/>
      <c r="R1040"/>
      <c r="S1040"/>
      <c r="T1040">
        <f>T1258</f>
        <v>0</v>
      </c>
      <c r="U1040" s="65">
        <v>188.33</v>
      </c>
      <c r="V1040"/>
      <c r="W1040" s="42"/>
      <c r="X1040"/>
      <c r="Y1040"/>
      <c r="Z1040"/>
      <c r="AA1040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38"/>
      <c r="AW1040" s="38"/>
      <c r="AX1040" s="38"/>
      <c r="AY1040" s="38"/>
      <c r="AZ1040" s="6" t="s">
        <v>57</v>
      </c>
      <c r="BA1040" s="38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</row>
    <row r="1041" spans="1:63" s="19" customFormat="1" ht="15" x14ac:dyDescent="0.25">
      <c r="A1041" s="52"/>
      <c r="B1041" s="53" t="s">
        <v>76</v>
      </c>
      <c r="C1041" s="104" t="s">
        <v>77</v>
      </c>
      <c r="D1041" s="104"/>
      <c r="E1041" s="104"/>
      <c r="F1041" s="104"/>
      <c r="G1041" s="104"/>
      <c r="H1041" s="54" t="s">
        <v>60</v>
      </c>
      <c r="I1041" s="58">
        <v>91</v>
      </c>
      <c r="J1041" s="55"/>
      <c r="K1041" s="58">
        <v>91</v>
      </c>
      <c r="L1041" s="56"/>
      <c r="M1041" s="55"/>
      <c r="N1041" s="56"/>
      <c r="O1041" s="55"/>
      <c r="P1041" s="77">
        <v>197.08699999999999</v>
      </c>
      <c r="Q1041"/>
      <c r="R1041"/>
      <c r="S1041"/>
      <c r="T1041">
        <f>T1258</f>
        <v>0</v>
      </c>
      <c r="U1041" s="65">
        <v>171.38</v>
      </c>
      <c r="V1041"/>
      <c r="W1041" s="55"/>
      <c r="X1041"/>
      <c r="Y1041"/>
      <c r="Z1041"/>
      <c r="AA1041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38"/>
      <c r="AW1041" s="38"/>
      <c r="AX1041" s="38"/>
      <c r="AY1041" s="38"/>
      <c r="AZ1041" s="6" t="s">
        <v>77</v>
      </c>
      <c r="BA1041" s="38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</row>
    <row r="1042" spans="1:63" s="19" customFormat="1" ht="15" x14ac:dyDescent="0.25">
      <c r="A1042" s="52"/>
      <c r="B1042" s="53" t="s">
        <v>78</v>
      </c>
      <c r="C1042" s="104" t="s">
        <v>79</v>
      </c>
      <c r="D1042" s="104"/>
      <c r="E1042" s="104"/>
      <c r="F1042" s="104"/>
      <c r="G1042" s="104"/>
      <c r="H1042" s="54" t="s">
        <v>60</v>
      </c>
      <c r="I1042" s="58">
        <v>48</v>
      </c>
      <c r="J1042" s="55"/>
      <c r="K1042" s="58">
        <v>48</v>
      </c>
      <c r="L1042" s="56"/>
      <c r="M1042" s="55"/>
      <c r="N1042" s="56"/>
      <c r="O1042" s="55"/>
      <c r="P1042" s="77">
        <v>103.96</v>
      </c>
      <c r="Q1042"/>
      <c r="R1042"/>
      <c r="S1042"/>
      <c r="T1042">
        <f>T1258</f>
        <v>0</v>
      </c>
      <c r="U1042" s="65">
        <v>90.4</v>
      </c>
      <c r="V1042"/>
      <c r="W1042" s="58">
        <v>91</v>
      </c>
      <c r="X1042"/>
      <c r="Y1042"/>
      <c r="Z1042"/>
      <c r="AA1042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38"/>
      <c r="AW1042" s="38"/>
      <c r="AX1042" s="38"/>
      <c r="AY1042" s="38"/>
      <c r="AZ1042" s="6" t="s">
        <v>79</v>
      </c>
      <c r="BA1042" s="38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</row>
    <row r="1043" spans="1:63" s="19" customFormat="1" ht="15" x14ac:dyDescent="0.25">
      <c r="A1043" s="59"/>
      <c r="B1043" s="98"/>
      <c r="C1043" s="102" t="s">
        <v>63</v>
      </c>
      <c r="D1043" s="102"/>
      <c r="E1043" s="102"/>
      <c r="F1043" s="102"/>
      <c r="G1043" s="102"/>
      <c r="H1043" s="41"/>
      <c r="I1043" s="42"/>
      <c r="J1043" s="42"/>
      <c r="K1043" s="42"/>
      <c r="L1043" s="45"/>
      <c r="M1043" s="42"/>
      <c r="N1043" s="49">
        <v>22505.5</v>
      </c>
      <c r="O1043" s="42"/>
      <c r="P1043" s="50">
        <v>517.62649999999996</v>
      </c>
      <c r="Q1043"/>
      <c r="R1043"/>
      <c r="S1043"/>
      <c r="T1043">
        <f>T1258</f>
        <v>0</v>
      </c>
      <c r="U1043" s="63">
        <f>450.11*(K1038/W1039)</f>
        <v>450.11</v>
      </c>
      <c r="V1043"/>
      <c r="W1043" s="58">
        <v>48</v>
      </c>
      <c r="X1043"/>
      <c r="Y1043"/>
      <c r="Z1043"/>
      <c r="AA1043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38"/>
      <c r="AW1043" s="38"/>
      <c r="AX1043" s="38"/>
      <c r="AY1043" s="38"/>
      <c r="AZ1043" s="6"/>
      <c r="BA1043" s="38" t="s">
        <v>63</v>
      </c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</row>
    <row r="1044" spans="1:63" s="19" customFormat="1" ht="23.25" x14ac:dyDescent="0.25">
      <c r="A1044" s="39" t="s">
        <v>775</v>
      </c>
      <c r="B1044" s="97" t="s">
        <v>88</v>
      </c>
      <c r="C1044" s="103" t="s">
        <v>89</v>
      </c>
      <c r="D1044" s="103"/>
      <c r="E1044" s="103"/>
      <c r="F1044" s="103"/>
      <c r="G1044" s="103"/>
      <c r="H1044" s="41" t="s">
        <v>83</v>
      </c>
      <c r="I1044" s="42">
        <v>2</v>
      </c>
      <c r="J1044" s="43">
        <v>1</v>
      </c>
      <c r="K1044" s="43">
        <v>2</v>
      </c>
      <c r="L1044" s="61">
        <v>42.54</v>
      </c>
      <c r="M1044" s="62">
        <v>1.42</v>
      </c>
      <c r="N1044" s="61">
        <v>60.41</v>
      </c>
      <c r="O1044" s="42"/>
      <c r="P1044" s="50">
        <v>138.94299999999998</v>
      </c>
      <c r="Q1044"/>
      <c r="R1044"/>
      <c r="S1044"/>
      <c r="T1044">
        <f>T1258</f>
        <v>0</v>
      </c>
      <c r="U1044" s="63">
        <f>120.82*(K1044/W1045)</f>
        <v>120.82</v>
      </c>
      <c r="V1044"/>
      <c r="W1044" s="42"/>
      <c r="X1044"/>
      <c r="Y1044"/>
      <c r="Z1044"/>
      <c r="AA1044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38"/>
      <c r="AW1044" s="38"/>
      <c r="AX1044" s="38" t="s">
        <v>89</v>
      </c>
      <c r="AY1044" s="38"/>
      <c r="AZ1044" s="6"/>
      <c r="BA1044" s="38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</row>
    <row r="1045" spans="1:63" s="19" customFormat="1" ht="15" x14ac:dyDescent="0.25">
      <c r="A1045" s="59"/>
      <c r="B1045" s="98"/>
      <c r="C1045" s="102" t="s">
        <v>63</v>
      </c>
      <c r="D1045" s="102"/>
      <c r="E1045" s="102"/>
      <c r="F1045" s="102"/>
      <c r="G1045" s="102"/>
      <c r="H1045" s="41"/>
      <c r="I1045" s="42"/>
      <c r="J1045" s="42"/>
      <c r="K1045" s="42"/>
      <c r="L1045" s="45"/>
      <c r="M1045" s="42"/>
      <c r="N1045" s="45"/>
      <c r="O1045" s="42"/>
      <c r="P1045" s="50">
        <v>138.94299999999998</v>
      </c>
      <c r="Q1045"/>
      <c r="R1045"/>
      <c r="S1045"/>
      <c r="T1045">
        <f>T1258</f>
        <v>0</v>
      </c>
      <c r="U1045" s="63">
        <f>120.82*(K1044/W1045)</f>
        <v>120.82</v>
      </c>
      <c r="V1045"/>
      <c r="W1045" s="43">
        <v>2</v>
      </c>
      <c r="X1045"/>
      <c r="Y1045"/>
      <c r="Z1045"/>
      <c r="AA1045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38"/>
      <c r="AW1045" s="38"/>
      <c r="AX1045" s="38"/>
      <c r="AY1045" s="38"/>
      <c r="AZ1045" s="6"/>
      <c r="BA1045" s="38" t="s">
        <v>63</v>
      </c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</row>
    <row r="1046" spans="1:63" s="19" customFormat="1" ht="23.25" x14ac:dyDescent="0.25">
      <c r="A1046" s="39" t="s">
        <v>776</v>
      </c>
      <c r="B1046" s="97" t="s">
        <v>91</v>
      </c>
      <c r="C1046" s="103" t="s">
        <v>92</v>
      </c>
      <c r="D1046" s="103"/>
      <c r="E1046" s="103"/>
      <c r="F1046" s="103"/>
      <c r="G1046" s="103"/>
      <c r="H1046" s="41" t="s">
        <v>93</v>
      </c>
      <c r="I1046" s="42">
        <v>2E-3</v>
      </c>
      <c r="J1046" s="43">
        <v>1</v>
      </c>
      <c r="K1046" s="66">
        <v>2E-3</v>
      </c>
      <c r="L1046" s="49">
        <v>7782.25</v>
      </c>
      <c r="M1046" s="62">
        <v>0.85</v>
      </c>
      <c r="N1046" s="49">
        <v>6614.91</v>
      </c>
      <c r="O1046" s="42"/>
      <c r="P1046" s="50">
        <v>15.214499999999999</v>
      </c>
      <c r="Q1046"/>
      <c r="R1046"/>
      <c r="S1046"/>
      <c r="T1046">
        <f>T1258</f>
        <v>0</v>
      </c>
      <c r="U1046" s="63">
        <f>13.23*(K1046/W1047)</f>
        <v>13.23</v>
      </c>
      <c r="V1046"/>
      <c r="W1046" s="42"/>
      <c r="X1046"/>
      <c r="Y1046"/>
      <c r="Z1046"/>
      <c r="AA104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38"/>
      <c r="AW1046" s="38"/>
      <c r="AX1046" s="38" t="s">
        <v>92</v>
      </c>
      <c r="AY1046" s="38"/>
      <c r="AZ1046" s="6"/>
      <c r="BA1046" s="38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</row>
    <row r="1047" spans="1:63" s="19" customFormat="1" ht="15" x14ac:dyDescent="0.25">
      <c r="A1047" s="59"/>
      <c r="B1047" s="98"/>
      <c r="C1047" s="102" t="s">
        <v>63</v>
      </c>
      <c r="D1047" s="102"/>
      <c r="E1047" s="102"/>
      <c r="F1047" s="102"/>
      <c r="G1047" s="102"/>
      <c r="H1047" s="41"/>
      <c r="I1047" s="42"/>
      <c r="J1047" s="42"/>
      <c r="K1047" s="42"/>
      <c r="L1047" s="45"/>
      <c r="M1047" s="42"/>
      <c r="N1047" s="45"/>
      <c r="O1047" s="42"/>
      <c r="P1047" s="50">
        <v>15.214499999999999</v>
      </c>
      <c r="Q1047"/>
      <c r="R1047"/>
      <c r="S1047"/>
      <c r="T1047">
        <f>T1258</f>
        <v>0</v>
      </c>
      <c r="U1047" s="63">
        <f>U1046</f>
        <v>13.23</v>
      </c>
      <c r="V1047"/>
      <c r="W1047" s="66">
        <v>2E-3</v>
      </c>
      <c r="X1047"/>
      <c r="Y1047"/>
      <c r="Z1047"/>
      <c r="AA1047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38"/>
      <c r="AW1047" s="38"/>
      <c r="AX1047" s="38"/>
      <c r="AY1047" s="38"/>
      <c r="AZ1047" s="6"/>
      <c r="BA1047" s="38" t="s">
        <v>63</v>
      </c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</row>
    <row r="1048" spans="1:63" s="19" customFormat="1" ht="15" x14ac:dyDescent="0.25">
      <c r="A1048" s="107" t="s">
        <v>94</v>
      </c>
      <c r="B1048" s="108"/>
      <c r="C1048" s="108"/>
      <c r="D1048" s="108"/>
      <c r="E1048" s="108"/>
      <c r="F1048" s="108"/>
      <c r="G1048" s="108"/>
      <c r="H1048" s="108"/>
      <c r="I1048" s="108"/>
      <c r="J1048" s="108"/>
      <c r="K1048" s="108"/>
      <c r="L1048" s="108"/>
      <c r="M1048" s="108"/>
      <c r="N1048" s="108"/>
      <c r="O1048" s="108"/>
      <c r="P1048" s="109"/>
      <c r="Q1048"/>
      <c r="R1048"/>
      <c r="S1048"/>
      <c r="T1048"/>
      <c r="U1048"/>
      <c r="V1048"/>
      <c r="W1048" s="42"/>
      <c r="X1048"/>
      <c r="Y1048"/>
      <c r="Z1048"/>
      <c r="AA1048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38"/>
      <c r="AW1048" s="38" t="s">
        <v>94</v>
      </c>
      <c r="AX1048" s="38"/>
      <c r="AY1048" s="38"/>
      <c r="AZ1048" s="6"/>
      <c r="BA1048" s="38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</row>
    <row r="1049" spans="1:63" s="19" customFormat="1" ht="23.25" x14ac:dyDescent="0.25">
      <c r="A1049" s="39" t="s">
        <v>777</v>
      </c>
      <c r="B1049" s="97" t="s">
        <v>96</v>
      </c>
      <c r="C1049" s="105" t="s">
        <v>308</v>
      </c>
      <c r="D1049" s="105"/>
      <c r="E1049" s="105"/>
      <c r="F1049" s="105"/>
      <c r="G1049" s="105"/>
      <c r="H1049" s="41" t="s">
        <v>55</v>
      </c>
      <c r="I1049" s="44">
        <v>2.2450000000000001E-2</v>
      </c>
      <c r="J1049" s="43">
        <v>1</v>
      </c>
      <c r="K1049" s="44">
        <f>I1049</f>
        <v>2.2450000000000001E-2</v>
      </c>
      <c r="L1049" s="45"/>
      <c r="M1049" s="42"/>
      <c r="N1049" s="45"/>
      <c r="O1049" s="42"/>
      <c r="P1049" s="46"/>
      <c r="Q1049"/>
      <c r="R1049"/>
      <c r="S1049"/>
      <c r="T1049"/>
      <c r="U1049"/>
      <c r="V1049"/>
      <c r="W1049"/>
      <c r="X1049"/>
      <c r="Y1049"/>
      <c r="Z1049"/>
      <c r="AA1049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38"/>
      <c r="AW1049" s="38"/>
      <c r="AX1049" s="38" t="s">
        <v>97</v>
      </c>
      <c r="AY1049" s="38"/>
      <c r="AZ1049" s="6"/>
      <c r="BA1049" s="38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</row>
    <row r="1050" spans="1:63" s="19" customFormat="1" ht="15" x14ac:dyDescent="0.25">
      <c r="A1050" s="47"/>
      <c r="B1050" s="48"/>
      <c r="C1050" s="106" t="s">
        <v>56</v>
      </c>
      <c r="D1050" s="106"/>
      <c r="E1050" s="106"/>
      <c r="F1050" s="106"/>
      <c r="G1050" s="106"/>
      <c r="H1050" s="41"/>
      <c r="I1050" s="42"/>
      <c r="J1050" s="42"/>
      <c r="K1050" s="42"/>
      <c r="L1050" s="45"/>
      <c r="M1050" s="42"/>
      <c r="N1050" s="49"/>
      <c r="O1050" s="42"/>
      <c r="P1050" s="50">
        <v>1167.204</v>
      </c>
      <c r="Q1050" s="51"/>
      <c r="R1050" s="51"/>
      <c r="S1050"/>
      <c r="T1050">
        <f>T1258</f>
        <v>0</v>
      </c>
      <c r="U1050" s="50">
        <v>1014.96</v>
      </c>
      <c r="V1050"/>
      <c r="W1050" s="62">
        <v>0.02</v>
      </c>
      <c r="X1050"/>
      <c r="Y1050"/>
      <c r="Z1050"/>
      <c r="AA1050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38"/>
      <c r="AW1050" s="38"/>
      <c r="AX1050" s="38"/>
      <c r="AY1050" s="38" t="s">
        <v>56</v>
      </c>
      <c r="AZ1050" s="6"/>
      <c r="BA1050" s="38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</row>
    <row r="1051" spans="1:63" s="19" customFormat="1" ht="15" x14ac:dyDescent="0.25">
      <c r="A1051" s="52"/>
      <c r="B1051" s="53"/>
      <c r="C1051" s="110" t="s">
        <v>57</v>
      </c>
      <c r="D1051" s="110"/>
      <c r="E1051" s="110"/>
      <c r="F1051" s="110"/>
      <c r="G1051" s="110"/>
      <c r="H1051" s="54"/>
      <c r="I1051" s="55"/>
      <c r="J1051" s="55"/>
      <c r="K1051" s="55"/>
      <c r="L1051" s="56"/>
      <c r="M1051" s="55"/>
      <c r="N1051" s="56"/>
      <c r="O1051" s="55"/>
      <c r="P1051" s="77">
        <v>718.45099999999991</v>
      </c>
      <c r="Q1051"/>
      <c r="R1051"/>
      <c r="S1051"/>
      <c r="T1051">
        <f>T1258</f>
        <v>0</v>
      </c>
      <c r="U1051" s="65">
        <v>624.74</v>
      </c>
      <c r="V1051"/>
      <c r="W1051" s="42"/>
      <c r="X1051"/>
      <c r="Y1051"/>
      <c r="Z1051"/>
      <c r="AA1051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38"/>
      <c r="AW1051" s="38"/>
      <c r="AX1051" s="38"/>
      <c r="AY1051" s="38"/>
      <c r="AZ1051" s="6" t="s">
        <v>57</v>
      </c>
      <c r="BA1051" s="38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</row>
    <row r="1052" spans="1:63" s="19" customFormat="1" ht="15" x14ac:dyDescent="0.25">
      <c r="A1052" s="52"/>
      <c r="B1052" s="53" t="s">
        <v>98</v>
      </c>
      <c r="C1052" s="110" t="s">
        <v>99</v>
      </c>
      <c r="D1052" s="110"/>
      <c r="E1052" s="110"/>
      <c r="F1052" s="110"/>
      <c r="G1052" s="110"/>
      <c r="H1052" s="54" t="s">
        <v>60</v>
      </c>
      <c r="I1052" s="58">
        <v>108</v>
      </c>
      <c r="J1052" s="55"/>
      <c r="K1052" s="58">
        <v>108</v>
      </c>
      <c r="L1052" s="56"/>
      <c r="M1052" s="55"/>
      <c r="N1052" s="56"/>
      <c r="O1052" s="55"/>
      <c r="P1052" s="77">
        <v>775.928</v>
      </c>
      <c r="Q1052"/>
      <c r="R1052"/>
      <c r="S1052"/>
      <c r="T1052">
        <f>T1258</f>
        <v>0</v>
      </c>
      <c r="U1052" s="65">
        <v>674.72</v>
      </c>
      <c r="V1052"/>
      <c r="W1052" s="55"/>
      <c r="X1052"/>
      <c r="Y1052"/>
      <c r="Z1052"/>
      <c r="AA1052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38"/>
      <c r="AW1052" s="38"/>
      <c r="AX1052" s="38"/>
      <c r="AY1052" s="38"/>
      <c r="AZ1052" s="6" t="s">
        <v>99</v>
      </c>
      <c r="BA1052" s="38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</row>
    <row r="1053" spans="1:63" s="19" customFormat="1" ht="15" x14ac:dyDescent="0.25">
      <c r="A1053" s="52"/>
      <c r="B1053" s="53" t="s">
        <v>100</v>
      </c>
      <c r="C1053" s="110" t="s">
        <v>101</v>
      </c>
      <c r="D1053" s="110"/>
      <c r="E1053" s="110"/>
      <c r="F1053" s="110"/>
      <c r="G1053" s="110"/>
      <c r="H1053" s="54" t="s">
        <v>60</v>
      </c>
      <c r="I1053" s="58">
        <v>55</v>
      </c>
      <c r="J1053" s="55"/>
      <c r="K1053" s="58">
        <v>55</v>
      </c>
      <c r="L1053" s="56"/>
      <c r="M1053" s="55"/>
      <c r="N1053" s="56"/>
      <c r="O1053" s="55"/>
      <c r="P1053" s="77">
        <v>395.1515</v>
      </c>
      <c r="Q1053"/>
      <c r="R1053"/>
      <c r="S1053"/>
      <c r="T1053">
        <f>T1258</f>
        <v>0</v>
      </c>
      <c r="U1053" s="65">
        <v>343.61</v>
      </c>
      <c r="V1053"/>
      <c r="W1053" s="58">
        <v>108</v>
      </c>
      <c r="X1053"/>
      <c r="Y1053"/>
      <c r="Z1053"/>
      <c r="AA1053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38"/>
      <c r="AW1053" s="38"/>
      <c r="AX1053" s="38"/>
      <c r="AY1053" s="38"/>
      <c r="AZ1053" s="6" t="s">
        <v>101</v>
      </c>
      <c r="BA1053" s="38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</row>
    <row r="1054" spans="1:63" s="19" customFormat="1" ht="15" x14ac:dyDescent="0.25">
      <c r="A1054" s="59"/>
      <c r="B1054" s="98"/>
      <c r="C1054" s="106" t="s">
        <v>63</v>
      </c>
      <c r="D1054" s="106"/>
      <c r="E1054" s="106"/>
      <c r="F1054" s="106"/>
      <c r="G1054" s="106"/>
      <c r="H1054" s="41"/>
      <c r="I1054" s="42"/>
      <c r="J1054" s="42"/>
      <c r="K1054" s="42"/>
      <c r="L1054" s="45"/>
      <c r="M1054" s="42"/>
      <c r="N1054" s="49">
        <v>101664.5</v>
      </c>
      <c r="O1054" s="42"/>
      <c r="P1054" s="50">
        <v>2333.0873144444445</v>
      </c>
      <c r="Q1054"/>
      <c r="R1054"/>
      <c r="S1054"/>
      <c r="T1054">
        <f>T1258</f>
        <v>0</v>
      </c>
      <c r="U1054" s="50">
        <f>2033.29*(K1049/0.0225)</f>
        <v>2028.771577777778</v>
      </c>
      <c r="V1054"/>
      <c r="W1054" s="58">
        <v>55</v>
      </c>
      <c r="X1054"/>
      <c r="Y1054"/>
      <c r="Z1054"/>
      <c r="AA1054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38"/>
      <c r="AW1054" s="38"/>
      <c r="AX1054" s="38"/>
      <c r="AY1054" s="38"/>
      <c r="AZ1054" s="6"/>
      <c r="BA1054" s="38" t="s">
        <v>63</v>
      </c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</row>
    <row r="1055" spans="1:63" s="19" customFormat="1" ht="15" x14ac:dyDescent="0.25">
      <c r="A1055" s="39" t="s">
        <v>778</v>
      </c>
      <c r="B1055" s="97" t="s">
        <v>103</v>
      </c>
      <c r="C1055" s="105" t="s">
        <v>309</v>
      </c>
      <c r="D1055" s="105"/>
      <c r="E1055" s="105"/>
      <c r="F1055" s="105"/>
      <c r="G1055" s="105"/>
      <c r="H1055" s="41" t="s">
        <v>83</v>
      </c>
      <c r="I1055" s="42">
        <v>15</v>
      </c>
      <c r="J1055" s="43">
        <v>1</v>
      </c>
      <c r="K1055" s="67">
        <v>15</v>
      </c>
      <c r="L1055" s="61">
        <v>92.12</v>
      </c>
      <c r="M1055" s="62">
        <v>1.48</v>
      </c>
      <c r="N1055" s="61">
        <v>136.34</v>
      </c>
      <c r="O1055" s="42"/>
      <c r="P1055" s="50">
        <v>2629.2565</v>
      </c>
      <c r="Q1055"/>
      <c r="R1055"/>
      <c r="S1055"/>
      <c r="T1055">
        <f>T1258</f>
        <v>0</v>
      </c>
      <c r="U1055" s="63">
        <f>2286.31*(K1055/W1055)</f>
        <v>2286.31</v>
      </c>
      <c r="V1055"/>
      <c r="W1055" s="42">
        <v>15</v>
      </c>
      <c r="X1055"/>
      <c r="Y1055"/>
      <c r="Z1055"/>
      <c r="AA1055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38"/>
      <c r="AW1055" s="38"/>
      <c r="AX1055" s="38" t="s">
        <v>104</v>
      </c>
      <c r="AY1055" s="38"/>
      <c r="AZ1055" s="6"/>
      <c r="BA1055" s="38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</row>
    <row r="1056" spans="1:63" s="19" customFormat="1" ht="15" x14ac:dyDescent="0.25">
      <c r="A1056" s="59"/>
      <c r="B1056" s="98"/>
      <c r="C1056" s="102" t="s">
        <v>63</v>
      </c>
      <c r="D1056" s="102"/>
      <c r="E1056" s="102"/>
      <c r="F1056" s="102"/>
      <c r="G1056" s="102"/>
      <c r="H1056" s="41"/>
      <c r="I1056" s="42"/>
      <c r="J1056" s="42"/>
      <c r="K1056" s="42"/>
      <c r="L1056" s="45"/>
      <c r="M1056" s="42"/>
      <c r="N1056" s="45"/>
      <c r="O1056" s="42"/>
      <c r="P1056" s="50">
        <v>2629.2565</v>
      </c>
      <c r="Q1056"/>
      <c r="R1056"/>
      <c r="S1056"/>
      <c r="T1056">
        <f>T1258</f>
        <v>0</v>
      </c>
      <c r="U1056" s="63">
        <f>U1055</f>
        <v>2286.31</v>
      </c>
      <c r="V1056"/>
      <c r="W1056" s="67">
        <v>15</v>
      </c>
      <c r="X1056"/>
      <c r="Y1056"/>
      <c r="Z1056"/>
      <c r="AA105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38"/>
      <c r="AW1056" s="38"/>
      <c r="AX1056" s="38"/>
      <c r="AY1056" s="38"/>
      <c r="AZ1056" s="6"/>
      <c r="BA1056" s="38" t="s">
        <v>63</v>
      </c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</row>
    <row r="1057" spans="1:63" s="19" customFormat="1" ht="23.25" x14ac:dyDescent="0.25">
      <c r="A1057" s="39" t="s">
        <v>779</v>
      </c>
      <c r="B1057" s="97" t="s">
        <v>107</v>
      </c>
      <c r="C1057" s="103" t="s">
        <v>108</v>
      </c>
      <c r="D1057" s="103"/>
      <c r="E1057" s="103"/>
      <c r="F1057" s="103"/>
      <c r="G1057" s="103"/>
      <c r="H1057" s="41" t="s">
        <v>55</v>
      </c>
      <c r="I1057" s="42">
        <v>0.13639999999999999</v>
      </c>
      <c r="J1057" s="43">
        <v>1</v>
      </c>
      <c r="K1057" s="44">
        <v>0.13639999999999999</v>
      </c>
      <c r="L1057" s="45"/>
      <c r="M1057" s="42"/>
      <c r="N1057" s="45"/>
      <c r="O1057" s="42"/>
      <c r="P1057" s="50"/>
      <c r="Q1057"/>
      <c r="R1057"/>
      <c r="S1057"/>
      <c r="T1057"/>
      <c r="U1057" s="46"/>
      <c r="V1057"/>
      <c r="W1057" s="42"/>
      <c r="X1057"/>
      <c r="Y1057"/>
      <c r="Z1057"/>
      <c r="AA1057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38"/>
      <c r="AW1057" s="38"/>
      <c r="AX1057" s="38" t="s">
        <v>108</v>
      </c>
      <c r="AY1057" s="38"/>
      <c r="AZ1057" s="6"/>
      <c r="BA1057" s="38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</row>
    <row r="1058" spans="1:63" s="19" customFormat="1" ht="15" x14ac:dyDescent="0.25">
      <c r="A1058" s="47"/>
      <c r="B1058" s="48"/>
      <c r="C1058" s="102" t="s">
        <v>56</v>
      </c>
      <c r="D1058" s="102"/>
      <c r="E1058" s="102"/>
      <c r="F1058" s="102"/>
      <c r="G1058" s="102"/>
      <c r="H1058" s="41"/>
      <c r="I1058" s="42"/>
      <c r="J1058" s="42"/>
      <c r="K1058" s="42"/>
      <c r="L1058" s="45"/>
      <c r="M1058" s="42"/>
      <c r="N1058" s="49"/>
      <c r="O1058" s="42"/>
      <c r="P1058" s="50">
        <v>305.78499999999997</v>
      </c>
      <c r="Q1058" s="51"/>
      <c r="R1058" s="51"/>
      <c r="S1058"/>
      <c r="T1058">
        <f>T1258</f>
        <v>0</v>
      </c>
      <c r="U1058" s="50">
        <v>265.89999999999998</v>
      </c>
      <c r="V1058"/>
      <c r="W1058" s="44">
        <v>0.13639999999999999</v>
      </c>
      <c r="X1058"/>
      <c r="Y1058"/>
      <c r="Z1058"/>
      <c r="AA1058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38"/>
      <c r="AW1058" s="38"/>
      <c r="AX1058" s="38"/>
      <c r="AY1058" s="38" t="s">
        <v>56</v>
      </c>
      <c r="AZ1058" s="6"/>
      <c r="BA1058" s="38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</row>
    <row r="1059" spans="1:63" s="19" customFormat="1" ht="15" x14ac:dyDescent="0.25">
      <c r="A1059" s="52"/>
      <c r="B1059" s="53"/>
      <c r="C1059" s="104" t="s">
        <v>57</v>
      </c>
      <c r="D1059" s="104"/>
      <c r="E1059" s="104"/>
      <c r="F1059" s="104"/>
      <c r="G1059" s="104"/>
      <c r="H1059" s="54"/>
      <c r="I1059" s="55"/>
      <c r="J1059" s="55"/>
      <c r="K1059" s="55"/>
      <c r="L1059" s="56"/>
      <c r="M1059" s="55"/>
      <c r="N1059" s="56"/>
      <c r="O1059" s="55"/>
      <c r="P1059" s="77">
        <v>303.11699999999996</v>
      </c>
      <c r="Q1059"/>
      <c r="R1059"/>
      <c r="S1059"/>
      <c r="T1059">
        <f>T1258</f>
        <v>0</v>
      </c>
      <c r="U1059" s="65">
        <v>263.58</v>
      </c>
      <c r="V1059"/>
      <c r="W1059" s="42"/>
      <c r="X1059"/>
      <c r="Y1059"/>
      <c r="Z1059"/>
      <c r="AA1059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38"/>
      <c r="AW1059" s="38"/>
      <c r="AX1059" s="38"/>
      <c r="AY1059" s="38"/>
      <c r="AZ1059" s="6" t="s">
        <v>57</v>
      </c>
      <c r="BA1059" s="38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</row>
    <row r="1060" spans="1:63" s="19" customFormat="1" ht="15" x14ac:dyDescent="0.25">
      <c r="A1060" s="52"/>
      <c r="B1060" s="53" t="s">
        <v>58</v>
      </c>
      <c r="C1060" s="104" t="s">
        <v>59</v>
      </c>
      <c r="D1060" s="104"/>
      <c r="E1060" s="104"/>
      <c r="F1060" s="104"/>
      <c r="G1060" s="104"/>
      <c r="H1060" s="54" t="s">
        <v>60</v>
      </c>
      <c r="I1060" s="58">
        <v>100</v>
      </c>
      <c r="J1060" s="55"/>
      <c r="K1060" s="58">
        <v>100</v>
      </c>
      <c r="L1060" s="56"/>
      <c r="M1060" s="55"/>
      <c r="N1060" s="56"/>
      <c r="O1060" s="55"/>
      <c r="P1060" s="77">
        <v>303.11699999999996</v>
      </c>
      <c r="Q1060"/>
      <c r="R1060"/>
      <c r="S1060"/>
      <c r="T1060">
        <f>T1258</f>
        <v>0</v>
      </c>
      <c r="U1060" s="65">
        <v>263.58</v>
      </c>
      <c r="V1060"/>
      <c r="W1060" s="55"/>
      <c r="X1060"/>
      <c r="Y1060"/>
      <c r="Z1060"/>
      <c r="AA1060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38"/>
      <c r="AW1060" s="38"/>
      <c r="AX1060" s="38"/>
      <c r="AY1060" s="38"/>
      <c r="AZ1060" s="6" t="s">
        <v>59</v>
      </c>
      <c r="BA1060" s="38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</row>
    <row r="1061" spans="1:63" s="19" customFormat="1" ht="15" x14ac:dyDescent="0.25">
      <c r="A1061" s="52"/>
      <c r="B1061" s="53" t="s">
        <v>61</v>
      </c>
      <c r="C1061" s="104" t="s">
        <v>62</v>
      </c>
      <c r="D1061" s="104"/>
      <c r="E1061" s="104"/>
      <c r="F1061" s="104"/>
      <c r="G1061" s="104"/>
      <c r="H1061" s="54" t="s">
        <v>60</v>
      </c>
      <c r="I1061" s="58">
        <v>49</v>
      </c>
      <c r="J1061" s="55"/>
      <c r="K1061" s="58">
        <v>49</v>
      </c>
      <c r="L1061" s="56"/>
      <c r="M1061" s="55"/>
      <c r="N1061" s="56"/>
      <c r="O1061" s="55"/>
      <c r="P1061" s="77">
        <v>148.52250000000001</v>
      </c>
      <c r="Q1061"/>
      <c r="R1061"/>
      <c r="S1061"/>
      <c r="T1061">
        <f>T1258</f>
        <v>0</v>
      </c>
      <c r="U1061" s="65">
        <v>129.15</v>
      </c>
      <c r="V1061"/>
      <c r="W1061" s="58">
        <v>100</v>
      </c>
      <c r="X1061"/>
      <c r="Y1061"/>
      <c r="Z1061"/>
      <c r="AA1061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38"/>
      <c r="AW1061" s="38"/>
      <c r="AX1061" s="38"/>
      <c r="AY1061" s="38"/>
      <c r="AZ1061" s="6" t="s">
        <v>62</v>
      </c>
      <c r="BA1061" s="38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</row>
    <row r="1062" spans="1:63" s="19" customFormat="1" ht="15" x14ac:dyDescent="0.25">
      <c r="A1062" s="59"/>
      <c r="B1062" s="98"/>
      <c r="C1062" s="102" t="s">
        <v>63</v>
      </c>
      <c r="D1062" s="102"/>
      <c r="E1062" s="102"/>
      <c r="F1062" s="102"/>
      <c r="G1062" s="102"/>
      <c r="H1062" s="41"/>
      <c r="I1062" s="42"/>
      <c r="J1062" s="42"/>
      <c r="K1062" s="42"/>
      <c r="L1062" s="45"/>
      <c r="M1062" s="42"/>
      <c r="N1062" s="49">
        <v>4828.67</v>
      </c>
      <c r="O1062" s="42"/>
      <c r="P1062" s="50">
        <v>757.42449999999997</v>
      </c>
      <c r="Q1062"/>
      <c r="R1062"/>
      <c r="S1062"/>
      <c r="T1062">
        <f>T1258</f>
        <v>0</v>
      </c>
      <c r="U1062" s="63">
        <f>658.63*(K1057/W1058)</f>
        <v>658.63</v>
      </c>
      <c r="V1062"/>
      <c r="W1062" s="58">
        <v>49</v>
      </c>
      <c r="X1062"/>
      <c r="Y1062"/>
      <c r="Z1062"/>
      <c r="AA1062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38"/>
      <c r="AW1062" s="38"/>
      <c r="AX1062" s="38"/>
      <c r="AY1062" s="38"/>
      <c r="AZ1062" s="6"/>
      <c r="BA1062" s="38" t="s">
        <v>63</v>
      </c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</row>
    <row r="1063" spans="1:63" s="19" customFormat="1" ht="15" x14ac:dyDescent="0.25">
      <c r="A1063" s="39" t="s">
        <v>780</v>
      </c>
      <c r="B1063" s="97" t="s">
        <v>110</v>
      </c>
      <c r="C1063" s="103" t="s">
        <v>111</v>
      </c>
      <c r="D1063" s="103"/>
      <c r="E1063" s="103"/>
      <c r="F1063" s="103"/>
      <c r="G1063" s="103"/>
      <c r="H1063" s="41" t="s">
        <v>67</v>
      </c>
      <c r="I1063" s="42">
        <v>1.4049</v>
      </c>
      <c r="J1063" s="43">
        <v>1</v>
      </c>
      <c r="K1063" s="44">
        <v>1.4049</v>
      </c>
      <c r="L1063" s="61">
        <v>65.84</v>
      </c>
      <c r="M1063" s="67">
        <v>1.2</v>
      </c>
      <c r="N1063" s="61">
        <v>79.010000000000005</v>
      </c>
      <c r="O1063" s="42"/>
      <c r="P1063" s="50">
        <v>127.64999999999999</v>
      </c>
      <c r="Q1063"/>
      <c r="R1063"/>
      <c r="S1063"/>
      <c r="T1063">
        <f>T1258</f>
        <v>0</v>
      </c>
      <c r="U1063" s="63">
        <f>111*(K1063/W1064)</f>
        <v>111</v>
      </c>
      <c r="V1063"/>
      <c r="W1063" s="42"/>
      <c r="X1063"/>
      <c r="Y1063"/>
      <c r="Z1063"/>
      <c r="AA1063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38"/>
      <c r="AW1063" s="38"/>
      <c r="AX1063" s="38" t="s">
        <v>111</v>
      </c>
      <c r="AY1063" s="38"/>
      <c r="AZ1063" s="6"/>
      <c r="BA1063" s="38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</row>
    <row r="1064" spans="1:63" s="19" customFormat="1" ht="15" x14ac:dyDescent="0.25">
      <c r="A1064" s="59"/>
      <c r="B1064" s="98"/>
      <c r="C1064" s="102" t="s">
        <v>63</v>
      </c>
      <c r="D1064" s="102"/>
      <c r="E1064" s="102"/>
      <c r="F1064" s="102"/>
      <c r="G1064" s="102"/>
      <c r="H1064" s="41"/>
      <c r="I1064" s="42"/>
      <c r="J1064" s="42"/>
      <c r="K1064" s="42"/>
      <c r="L1064" s="45"/>
      <c r="M1064" s="42"/>
      <c r="N1064" s="45"/>
      <c r="O1064" s="42"/>
      <c r="P1064" s="50">
        <v>127.64999999999999</v>
      </c>
      <c r="Q1064"/>
      <c r="R1064"/>
      <c r="S1064"/>
      <c r="T1064">
        <f>T1258</f>
        <v>0</v>
      </c>
      <c r="U1064" s="63">
        <f>U1063</f>
        <v>111</v>
      </c>
      <c r="V1064"/>
      <c r="W1064" s="44">
        <v>1.4049</v>
      </c>
      <c r="X1064"/>
      <c r="Y1064"/>
      <c r="Z1064"/>
      <c r="AA1064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38"/>
      <c r="AW1064" s="38"/>
      <c r="AX1064" s="38"/>
      <c r="AY1064" s="38"/>
      <c r="AZ1064" s="6"/>
      <c r="BA1064" s="38" t="s">
        <v>63</v>
      </c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</row>
    <row r="1065" spans="1:63" s="19" customFormat="1" ht="34.5" x14ac:dyDescent="0.25">
      <c r="A1065" s="39" t="s">
        <v>781</v>
      </c>
      <c r="B1065" s="97" t="s">
        <v>113</v>
      </c>
      <c r="C1065" s="103" t="s">
        <v>114</v>
      </c>
      <c r="D1065" s="103"/>
      <c r="E1065" s="103"/>
      <c r="F1065" s="103"/>
      <c r="G1065" s="103"/>
      <c r="H1065" s="41" t="s">
        <v>55</v>
      </c>
      <c r="I1065" s="42">
        <v>0.13639999999999999</v>
      </c>
      <c r="J1065" s="43">
        <v>1</v>
      </c>
      <c r="K1065" s="44">
        <v>0.13639999999999999</v>
      </c>
      <c r="L1065" s="45"/>
      <c r="M1065" s="42"/>
      <c r="N1065" s="45"/>
      <c r="O1065" s="42"/>
      <c r="P1065" s="50"/>
      <c r="Q1065"/>
      <c r="R1065"/>
      <c r="S1065"/>
      <c r="T1065"/>
      <c r="U1065" s="46"/>
      <c r="V1065"/>
      <c r="W1065" s="42"/>
      <c r="X1065"/>
      <c r="Y1065"/>
      <c r="Z1065"/>
      <c r="AA1065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38"/>
      <c r="AW1065" s="38"/>
      <c r="AX1065" s="38" t="s">
        <v>114</v>
      </c>
      <c r="AY1065" s="38"/>
      <c r="AZ1065" s="6"/>
      <c r="BA1065" s="38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</row>
    <row r="1066" spans="1:63" s="19" customFormat="1" ht="15" x14ac:dyDescent="0.25">
      <c r="A1066" s="47"/>
      <c r="B1066" s="48"/>
      <c r="C1066" s="102" t="s">
        <v>56</v>
      </c>
      <c r="D1066" s="102"/>
      <c r="E1066" s="102"/>
      <c r="F1066" s="102"/>
      <c r="G1066" s="102"/>
      <c r="H1066" s="41"/>
      <c r="I1066" s="42"/>
      <c r="J1066" s="42"/>
      <c r="K1066" s="42"/>
      <c r="L1066" s="45"/>
      <c r="M1066" s="42"/>
      <c r="N1066" s="49"/>
      <c r="O1066" s="42"/>
      <c r="P1066" s="50">
        <v>1936.8874999999998</v>
      </c>
      <c r="Q1066" s="51"/>
      <c r="R1066" s="51"/>
      <c r="S1066"/>
      <c r="T1066">
        <f>T1258</f>
        <v>0</v>
      </c>
      <c r="U1066" s="50">
        <v>1684.25</v>
      </c>
      <c r="V1066"/>
      <c r="W1066" s="44">
        <v>0.13639999999999999</v>
      </c>
      <c r="X1066"/>
      <c r="Y1066"/>
      <c r="Z1066"/>
      <c r="AA106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38"/>
      <c r="AW1066" s="38"/>
      <c r="AX1066" s="38"/>
      <c r="AY1066" s="38" t="s">
        <v>56</v>
      </c>
      <c r="AZ1066" s="6"/>
      <c r="BA1066" s="38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</row>
    <row r="1067" spans="1:63" s="19" customFormat="1" ht="15" x14ac:dyDescent="0.25">
      <c r="A1067" s="52"/>
      <c r="B1067" s="53"/>
      <c r="C1067" s="104" t="s">
        <v>57</v>
      </c>
      <c r="D1067" s="104"/>
      <c r="E1067" s="104"/>
      <c r="F1067" s="104"/>
      <c r="G1067" s="104"/>
      <c r="H1067" s="54"/>
      <c r="I1067" s="55"/>
      <c r="J1067" s="55"/>
      <c r="K1067" s="55"/>
      <c r="L1067" s="56"/>
      <c r="M1067" s="55"/>
      <c r="N1067" s="56"/>
      <c r="O1067" s="55"/>
      <c r="P1067" s="77">
        <v>1927.2504999999996</v>
      </c>
      <c r="Q1067"/>
      <c r="R1067"/>
      <c r="S1067"/>
      <c r="T1067">
        <f>T1258</f>
        <v>0</v>
      </c>
      <c r="U1067" s="57">
        <v>1675.87</v>
      </c>
      <c r="V1067"/>
      <c r="W1067" s="42"/>
      <c r="X1067"/>
      <c r="Y1067"/>
      <c r="Z1067"/>
      <c r="AA1067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38"/>
      <c r="AW1067" s="38"/>
      <c r="AX1067" s="38"/>
      <c r="AY1067" s="38"/>
      <c r="AZ1067" s="6" t="s">
        <v>57</v>
      </c>
      <c r="BA1067" s="38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</row>
    <row r="1068" spans="1:63" s="19" customFormat="1" ht="15" x14ac:dyDescent="0.25">
      <c r="A1068" s="52"/>
      <c r="B1068" s="53" t="s">
        <v>58</v>
      </c>
      <c r="C1068" s="104" t="s">
        <v>59</v>
      </c>
      <c r="D1068" s="104"/>
      <c r="E1068" s="104"/>
      <c r="F1068" s="104"/>
      <c r="G1068" s="104"/>
      <c r="H1068" s="54" t="s">
        <v>60</v>
      </c>
      <c r="I1068" s="58">
        <v>100</v>
      </c>
      <c r="J1068" s="55"/>
      <c r="K1068" s="58">
        <v>100</v>
      </c>
      <c r="L1068" s="56"/>
      <c r="M1068" s="55"/>
      <c r="N1068" s="56"/>
      <c r="O1068" s="55"/>
      <c r="P1068" s="77">
        <v>1927.2504999999996</v>
      </c>
      <c r="Q1068"/>
      <c r="R1068"/>
      <c r="S1068"/>
      <c r="T1068">
        <f>T1258</f>
        <v>0</v>
      </c>
      <c r="U1068" s="57">
        <v>1675.87</v>
      </c>
      <c r="V1068"/>
      <c r="W1068" s="55"/>
      <c r="X1068"/>
      <c r="Y1068"/>
      <c r="Z1068"/>
      <c r="AA1068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38"/>
      <c r="AW1068" s="38"/>
      <c r="AX1068" s="38"/>
      <c r="AY1068" s="38"/>
      <c r="AZ1068" s="6" t="s">
        <v>59</v>
      </c>
      <c r="BA1068" s="38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</row>
    <row r="1069" spans="1:63" s="19" customFormat="1" ht="15" x14ac:dyDescent="0.25">
      <c r="A1069" s="52"/>
      <c r="B1069" s="53" t="s">
        <v>61</v>
      </c>
      <c r="C1069" s="104" t="s">
        <v>62</v>
      </c>
      <c r="D1069" s="104"/>
      <c r="E1069" s="104"/>
      <c r="F1069" s="104"/>
      <c r="G1069" s="104"/>
      <c r="H1069" s="54" t="s">
        <v>60</v>
      </c>
      <c r="I1069" s="58">
        <v>49</v>
      </c>
      <c r="J1069" s="55"/>
      <c r="K1069" s="58">
        <v>49</v>
      </c>
      <c r="L1069" s="56"/>
      <c r="M1069" s="55"/>
      <c r="N1069" s="56"/>
      <c r="O1069" s="55"/>
      <c r="P1069" s="77">
        <v>944.35699999999986</v>
      </c>
      <c r="Q1069"/>
      <c r="R1069"/>
      <c r="S1069"/>
      <c r="T1069">
        <f>T1258</f>
        <v>0</v>
      </c>
      <c r="U1069" s="65">
        <v>821.18</v>
      </c>
      <c r="V1069"/>
      <c r="W1069" s="58">
        <v>100</v>
      </c>
      <c r="X1069"/>
      <c r="Y1069"/>
      <c r="Z1069"/>
      <c r="AA1069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38"/>
      <c r="AW1069" s="38"/>
      <c r="AX1069" s="38"/>
      <c r="AY1069" s="38"/>
      <c r="AZ1069" s="6" t="s">
        <v>62</v>
      </c>
      <c r="BA1069" s="38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</row>
    <row r="1070" spans="1:63" s="19" customFormat="1" ht="15" x14ac:dyDescent="0.25">
      <c r="A1070" s="59"/>
      <c r="B1070" s="98"/>
      <c r="C1070" s="102" t="s">
        <v>63</v>
      </c>
      <c r="D1070" s="102"/>
      <c r="E1070" s="102"/>
      <c r="F1070" s="102"/>
      <c r="G1070" s="102"/>
      <c r="H1070" s="41"/>
      <c r="I1070" s="42"/>
      <c r="J1070" s="42"/>
      <c r="K1070" s="42"/>
      <c r="L1070" s="45"/>
      <c r="M1070" s="42"/>
      <c r="N1070" s="49">
        <v>30654.69</v>
      </c>
      <c r="O1070" s="42"/>
      <c r="P1070" s="50">
        <v>4808.4949999999999</v>
      </c>
      <c r="Q1070"/>
      <c r="R1070"/>
      <c r="S1070"/>
      <c r="T1070">
        <f>T1258</f>
        <v>0</v>
      </c>
      <c r="U1070" s="50">
        <f>4181.3*(K1065/W1066)</f>
        <v>4181.3</v>
      </c>
      <c r="V1070"/>
      <c r="W1070" s="58">
        <v>49</v>
      </c>
      <c r="X1070"/>
      <c r="Y1070"/>
      <c r="Z1070"/>
      <c r="AA1070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38"/>
      <c r="AW1070" s="38"/>
      <c r="AX1070" s="38"/>
      <c r="AY1070" s="38"/>
      <c r="AZ1070" s="6"/>
      <c r="BA1070" s="38" t="s">
        <v>63</v>
      </c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</row>
    <row r="1071" spans="1:63" s="19" customFormat="1" ht="34.5" x14ac:dyDescent="0.25">
      <c r="A1071" s="39" t="s">
        <v>782</v>
      </c>
      <c r="B1071" s="97" t="s">
        <v>116</v>
      </c>
      <c r="C1071" s="103" t="s">
        <v>117</v>
      </c>
      <c r="D1071" s="103"/>
      <c r="E1071" s="103"/>
      <c r="F1071" s="103"/>
      <c r="G1071" s="103"/>
      <c r="H1071" s="41" t="s">
        <v>67</v>
      </c>
      <c r="I1071" s="42">
        <v>115.94</v>
      </c>
      <c r="J1071" s="43">
        <v>1</v>
      </c>
      <c r="K1071" s="62">
        <v>115.94</v>
      </c>
      <c r="L1071" s="61">
        <v>17.34</v>
      </c>
      <c r="M1071" s="62">
        <v>1.42</v>
      </c>
      <c r="N1071" s="61">
        <v>24.62</v>
      </c>
      <c r="O1071" s="42"/>
      <c r="P1071" s="50">
        <v>3282.6059999999998</v>
      </c>
      <c r="Q1071"/>
      <c r="R1071"/>
      <c r="S1071"/>
      <c r="T1071">
        <f>T1258</f>
        <v>0</v>
      </c>
      <c r="U1071" s="50">
        <f>U1072</f>
        <v>2854.44</v>
      </c>
      <c r="V1071"/>
      <c r="W1071" s="42"/>
      <c r="X1071"/>
      <c r="Y1071"/>
      <c r="Z1071"/>
      <c r="AA1071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38"/>
      <c r="AW1071" s="38"/>
      <c r="AX1071" s="38" t="s">
        <v>117</v>
      </c>
      <c r="AY1071" s="38"/>
      <c r="AZ1071" s="6"/>
      <c r="BA1071" s="38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</row>
    <row r="1072" spans="1:63" s="19" customFormat="1" ht="15" x14ac:dyDescent="0.25">
      <c r="A1072" s="59"/>
      <c r="B1072" s="98"/>
      <c r="C1072" s="102" t="s">
        <v>63</v>
      </c>
      <c r="D1072" s="102"/>
      <c r="E1072" s="102"/>
      <c r="F1072" s="102"/>
      <c r="G1072" s="102"/>
      <c r="H1072" s="41"/>
      <c r="I1072" s="42"/>
      <c r="J1072" s="42"/>
      <c r="K1072" s="42"/>
      <c r="L1072" s="45"/>
      <c r="M1072" s="42"/>
      <c r="N1072" s="45"/>
      <c r="O1072" s="42"/>
      <c r="P1072" s="50">
        <v>3282.6059999999998</v>
      </c>
      <c r="Q1072"/>
      <c r="R1072"/>
      <c r="S1072"/>
      <c r="T1072">
        <f>T1258</f>
        <v>0</v>
      </c>
      <c r="U1072" s="50">
        <f>2854.44*(K1071/W1072)</f>
        <v>2854.44</v>
      </c>
      <c r="V1072"/>
      <c r="W1072" s="62">
        <v>115.94</v>
      </c>
      <c r="X1072"/>
      <c r="Y1072"/>
      <c r="Z1072"/>
      <c r="AA1072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38"/>
      <c r="AW1072" s="38"/>
      <c r="AX1072" s="38"/>
      <c r="AY1072" s="38"/>
      <c r="AZ1072" s="6"/>
      <c r="BA1072" s="38" t="s">
        <v>63</v>
      </c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</row>
    <row r="1073" spans="1:63" s="19" customFormat="1" ht="23.25" x14ac:dyDescent="0.25">
      <c r="A1073" s="39" t="s">
        <v>783</v>
      </c>
      <c r="B1073" s="97" t="s">
        <v>119</v>
      </c>
      <c r="C1073" s="103" t="s">
        <v>120</v>
      </c>
      <c r="D1073" s="103"/>
      <c r="E1073" s="103"/>
      <c r="F1073" s="103"/>
      <c r="G1073" s="103"/>
      <c r="H1073" s="41" t="s">
        <v>105</v>
      </c>
      <c r="I1073" s="42">
        <v>13.912800000000001</v>
      </c>
      <c r="J1073" s="43">
        <v>1</v>
      </c>
      <c r="K1073" s="44">
        <v>13.912800000000001</v>
      </c>
      <c r="L1073" s="61">
        <v>50.99</v>
      </c>
      <c r="M1073" s="62">
        <v>1.1599999999999999</v>
      </c>
      <c r="N1073" s="61">
        <v>59.15</v>
      </c>
      <c r="O1073" s="42"/>
      <c r="P1073" s="50">
        <v>946.38099999999997</v>
      </c>
      <c r="Q1073"/>
      <c r="R1073"/>
      <c r="S1073"/>
      <c r="T1073">
        <f>T1258</f>
        <v>0</v>
      </c>
      <c r="U1073" s="63">
        <f>U1074</f>
        <v>822.94</v>
      </c>
      <c r="V1073"/>
      <c r="W1073" s="42"/>
      <c r="X1073"/>
      <c r="Y1073"/>
      <c r="Z1073"/>
      <c r="AA1073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38"/>
      <c r="AW1073" s="38"/>
      <c r="AX1073" s="38" t="s">
        <v>120</v>
      </c>
      <c r="AY1073" s="38"/>
      <c r="AZ1073" s="6"/>
      <c r="BA1073" s="38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</row>
    <row r="1074" spans="1:63" s="19" customFormat="1" ht="15" x14ac:dyDescent="0.25">
      <c r="A1074" s="59"/>
      <c r="B1074" s="98"/>
      <c r="C1074" s="102" t="s">
        <v>63</v>
      </c>
      <c r="D1074" s="102"/>
      <c r="E1074" s="102"/>
      <c r="F1074" s="102"/>
      <c r="G1074" s="102"/>
      <c r="H1074" s="41"/>
      <c r="I1074" s="42"/>
      <c r="J1074" s="42"/>
      <c r="K1074" s="42"/>
      <c r="L1074" s="45"/>
      <c r="M1074" s="42"/>
      <c r="N1074" s="45"/>
      <c r="O1074" s="42"/>
      <c r="P1074" s="50">
        <v>946.38099999999997</v>
      </c>
      <c r="Q1074"/>
      <c r="R1074"/>
      <c r="S1074"/>
      <c r="T1074">
        <f>T1258</f>
        <v>0</v>
      </c>
      <c r="U1074" s="63">
        <f>822.94*(K1073/W1074)</f>
        <v>822.94</v>
      </c>
      <c r="V1074"/>
      <c r="W1074" s="44">
        <v>13.912800000000001</v>
      </c>
      <c r="X1074"/>
      <c r="Y1074"/>
      <c r="Z1074"/>
      <c r="AA1074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38"/>
      <c r="AW1074" s="38"/>
      <c r="AX1074" s="38"/>
      <c r="AY1074" s="38"/>
      <c r="AZ1074" s="6"/>
      <c r="BA1074" s="38" t="s">
        <v>63</v>
      </c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</row>
    <row r="1075" spans="1:63" s="19" customFormat="1" ht="15" x14ac:dyDescent="0.25">
      <c r="A1075" s="39" t="s">
        <v>784</v>
      </c>
      <c r="B1075" s="97" t="s">
        <v>110</v>
      </c>
      <c r="C1075" s="103" t="s">
        <v>111</v>
      </c>
      <c r="D1075" s="103"/>
      <c r="E1075" s="103"/>
      <c r="F1075" s="103"/>
      <c r="G1075" s="103"/>
      <c r="H1075" s="41" t="s">
        <v>67</v>
      </c>
      <c r="I1075" s="42">
        <v>2.7280000000000002</v>
      </c>
      <c r="J1075" s="43">
        <v>1</v>
      </c>
      <c r="K1075" s="66">
        <v>2.7280000000000002</v>
      </c>
      <c r="L1075" s="61">
        <v>65.84</v>
      </c>
      <c r="M1075" s="67">
        <v>1.2</v>
      </c>
      <c r="N1075" s="61">
        <v>79.010000000000005</v>
      </c>
      <c r="O1075" s="42"/>
      <c r="P1075" s="50">
        <v>247.87099999999998</v>
      </c>
      <c r="Q1075"/>
      <c r="R1075"/>
      <c r="S1075"/>
      <c r="T1075">
        <f>T1258</f>
        <v>0</v>
      </c>
      <c r="U1075" s="63">
        <f>U1076</f>
        <v>215.54</v>
      </c>
      <c r="V1075"/>
      <c r="W1075" s="42"/>
      <c r="X1075"/>
      <c r="Y1075"/>
      <c r="Z1075"/>
      <c r="AA1075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38"/>
      <c r="AW1075" s="38"/>
      <c r="AX1075" s="38" t="s">
        <v>111</v>
      </c>
      <c r="AY1075" s="38"/>
      <c r="AZ1075" s="6"/>
      <c r="BA1075" s="38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</row>
    <row r="1076" spans="1:63" s="19" customFormat="1" ht="15" x14ac:dyDescent="0.25">
      <c r="A1076" s="59"/>
      <c r="B1076" s="98"/>
      <c r="C1076" s="102" t="s">
        <v>63</v>
      </c>
      <c r="D1076" s="102"/>
      <c r="E1076" s="102"/>
      <c r="F1076" s="102"/>
      <c r="G1076" s="102"/>
      <c r="H1076" s="41"/>
      <c r="I1076" s="42"/>
      <c r="J1076" s="42"/>
      <c r="K1076" s="42"/>
      <c r="L1076" s="45"/>
      <c r="M1076" s="42"/>
      <c r="N1076" s="45"/>
      <c r="O1076" s="42"/>
      <c r="P1076" s="50">
        <v>247.87099999999998</v>
      </c>
      <c r="Q1076"/>
      <c r="R1076"/>
      <c r="S1076"/>
      <c r="T1076">
        <f>T1258</f>
        <v>0</v>
      </c>
      <c r="U1076" s="63">
        <f>215.54*(K1075/W1076)</f>
        <v>215.54</v>
      </c>
      <c r="V1076"/>
      <c r="W1076" s="66">
        <v>2.7280000000000002</v>
      </c>
      <c r="X1076"/>
      <c r="Y1076"/>
      <c r="Z1076"/>
      <c r="AA107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38"/>
      <c r="AW1076" s="38"/>
      <c r="AX1076" s="38"/>
      <c r="AY1076" s="38"/>
      <c r="AZ1076" s="6"/>
      <c r="BA1076" s="38" t="s">
        <v>63</v>
      </c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</row>
    <row r="1077" spans="1:63" s="19" customFormat="1" ht="15" x14ac:dyDescent="0.25">
      <c r="A1077" s="39" t="s">
        <v>785</v>
      </c>
      <c r="B1077" s="97" t="s">
        <v>123</v>
      </c>
      <c r="C1077" s="103" t="s">
        <v>124</v>
      </c>
      <c r="D1077" s="103"/>
      <c r="E1077" s="103"/>
      <c r="F1077" s="103"/>
      <c r="G1077" s="103"/>
      <c r="H1077" s="41" t="s">
        <v>125</v>
      </c>
      <c r="I1077" s="42">
        <v>0.27</v>
      </c>
      <c r="J1077" s="43">
        <v>1</v>
      </c>
      <c r="K1077" s="62">
        <v>0.27</v>
      </c>
      <c r="L1077" s="45"/>
      <c r="M1077" s="42"/>
      <c r="N1077" s="45"/>
      <c r="O1077" s="42"/>
      <c r="P1077" s="50"/>
      <c r="Q1077"/>
      <c r="R1077"/>
      <c r="S1077"/>
      <c r="T1077"/>
      <c r="U1077" s="46"/>
      <c r="V1077"/>
      <c r="W1077" s="42"/>
      <c r="X1077"/>
      <c r="Y1077"/>
      <c r="Z1077"/>
      <c r="AA1077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38"/>
      <c r="AW1077" s="38"/>
      <c r="AX1077" s="38" t="s">
        <v>124</v>
      </c>
      <c r="AY1077" s="38"/>
      <c r="AZ1077" s="6"/>
      <c r="BA1077" s="38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</row>
    <row r="1078" spans="1:63" s="19" customFormat="1" ht="15" x14ac:dyDescent="0.25">
      <c r="A1078" s="47"/>
      <c r="B1078" s="48"/>
      <c r="C1078" s="102" t="s">
        <v>56</v>
      </c>
      <c r="D1078" s="102"/>
      <c r="E1078" s="102"/>
      <c r="F1078" s="102"/>
      <c r="G1078" s="102"/>
      <c r="H1078" s="41"/>
      <c r="I1078" s="42"/>
      <c r="J1078" s="42"/>
      <c r="K1078" s="42"/>
      <c r="L1078" s="45"/>
      <c r="M1078" s="42"/>
      <c r="N1078" s="49"/>
      <c r="O1078" s="42"/>
      <c r="P1078" s="50">
        <v>844.41049999999996</v>
      </c>
      <c r="Q1078" s="51"/>
      <c r="R1078" s="51"/>
      <c r="S1078"/>
      <c r="T1078">
        <f>T1258</f>
        <v>0</v>
      </c>
      <c r="U1078" s="50">
        <v>734.27</v>
      </c>
      <c r="V1078"/>
      <c r="W1078" s="62">
        <v>0.27</v>
      </c>
      <c r="X1078"/>
      <c r="Y1078"/>
      <c r="Z1078"/>
      <c r="AA1078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38"/>
      <c r="AW1078" s="38"/>
      <c r="AX1078" s="38"/>
      <c r="AY1078" s="38" t="s">
        <v>56</v>
      </c>
      <c r="AZ1078" s="6"/>
      <c r="BA1078" s="38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</row>
    <row r="1079" spans="1:63" s="19" customFormat="1" ht="15" x14ac:dyDescent="0.25">
      <c r="A1079" s="52"/>
      <c r="B1079" s="53"/>
      <c r="C1079" s="104" t="s">
        <v>57</v>
      </c>
      <c r="D1079" s="104"/>
      <c r="E1079" s="104"/>
      <c r="F1079" s="104"/>
      <c r="G1079" s="104"/>
      <c r="H1079" s="54"/>
      <c r="I1079" s="55"/>
      <c r="J1079" s="55"/>
      <c r="K1079" s="55"/>
      <c r="L1079" s="56"/>
      <c r="M1079" s="55"/>
      <c r="N1079" s="56"/>
      <c r="O1079" s="55"/>
      <c r="P1079" s="77">
        <v>764.66949999999986</v>
      </c>
      <c r="Q1079"/>
      <c r="R1079"/>
      <c r="S1079"/>
      <c r="T1079">
        <f>T1258</f>
        <v>0</v>
      </c>
      <c r="U1079" s="65">
        <v>664.93</v>
      </c>
      <c r="V1079"/>
      <c r="W1079" s="42"/>
      <c r="X1079"/>
      <c r="Y1079"/>
      <c r="Z1079"/>
      <c r="AA1079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38"/>
      <c r="AW1079" s="38"/>
      <c r="AX1079" s="38"/>
      <c r="AY1079" s="38"/>
      <c r="AZ1079" s="6" t="s">
        <v>57</v>
      </c>
      <c r="BA1079" s="38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</row>
    <row r="1080" spans="1:63" s="19" customFormat="1" ht="15" x14ac:dyDescent="0.25">
      <c r="A1080" s="52"/>
      <c r="B1080" s="53" t="s">
        <v>98</v>
      </c>
      <c r="C1080" s="104" t="s">
        <v>99</v>
      </c>
      <c r="D1080" s="104"/>
      <c r="E1080" s="104"/>
      <c r="F1080" s="104"/>
      <c r="G1080" s="104"/>
      <c r="H1080" s="54" t="s">
        <v>60</v>
      </c>
      <c r="I1080" s="58">
        <v>108</v>
      </c>
      <c r="J1080" s="55"/>
      <c r="K1080" s="58">
        <v>108</v>
      </c>
      <c r="L1080" s="56"/>
      <c r="M1080" s="55"/>
      <c r="N1080" s="56"/>
      <c r="O1080" s="55"/>
      <c r="P1080" s="77">
        <v>825.83799999999997</v>
      </c>
      <c r="Q1080"/>
      <c r="R1080"/>
      <c r="S1080"/>
      <c r="T1080">
        <f>T1258</f>
        <v>0</v>
      </c>
      <c r="U1080" s="65">
        <v>718.12</v>
      </c>
      <c r="V1080"/>
      <c r="W1080" s="55"/>
      <c r="X1080"/>
      <c r="Y1080"/>
      <c r="Z1080"/>
      <c r="AA1080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38"/>
      <c r="AW1080" s="38"/>
      <c r="AX1080" s="38"/>
      <c r="AY1080" s="38"/>
      <c r="AZ1080" s="6" t="s">
        <v>99</v>
      </c>
      <c r="BA1080" s="38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</row>
    <row r="1081" spans="1:63" s="19" customFormat="1" ht="15" x14ac:dyDescent="0.25">
      <c r="A1081" s="52"/>
      <c r="B1081" s="53" t="s">
        <v>100</v>
      </c>
      <c r="C1081" s="104" t="s">
        <v>101</v>
      </c>
      <c r="D1081" s="104"/>
      <c r="E1081" s="104"/>
      <c r="F1081" s="104"/>
      <c r="G1081" s="104"/>
      <c r="H1081" s="54" t="s">
        <v>60</v>
      </c>
      <c r="I1081" s="58">
        <v>55</v>
      </c>
      <c r="J1081" s="55"/>
      <c r="K1081" s="58">
        <v>55</v>
      </c>
      <c r="L1081" s="56"/>
      <c r="M1081" s="55"/>
      <c r="N1081" s="56"/>
      <c r="O1081" s="55"/>
      <c r="P1081" s="77">
        <v>420.56649999999996</v>
      </c>
      <c r="Q1081"/>
      <c r="R1081"/>
      <c r="S1081"/>
      <c r="T1081">
        <f>T1258</f>
        <v>0</v>
      </c>
      <c r="U1081" s="65">
        <v>365.71</v>
      </c>
      <c r="V1081"/>
      <c r="W1081" s="58">
        <v>108</v>
      </c>
      <c r="X1081"/>
      <c r="Y1081"/>
      <c r="Z1081"/>
      <c r="AA1081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38"/>
      <c r="AW1081" s="38"/>
      <c r="AX1081" s="38"/>
      <c r="AY1081" s="38"/>
      <c r="AZ1081" s="6" t="s">
        <v>101</v>
      </c>
      <c r="BA1081" s="38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</row>
    <row r="1082" spans="1:63" s="19" customFormat="1" ht="15" x14ac:dyDescent="0.25">
      <c r="A1082" s="59"/>
      <c r="B1082" s="98"/>
      <c r="C1082" s="102" t="s">
        <v>63</v>
      </c>
      <c r="D1082" s="102"/>
      <c r="E1082" s="102"/>
      <c r="F1082" s="102"/>
      <c r="G1082" s="102"/>
      <c r="H1082" s="41"/>
      <c r="I1082" s="42"/>
      <c r="J1082" s="42"/>
      <c r="K1082" s="42"/>
      <c r="L1082" s="45"/>
      <c r="M1082" s="42"/>
      <c r="N1082" s="49">
        <v>6733.7</v>
      </c>
      <c r="O1082" s="42"/>
      <c r="P1082" s="50">
        <v>2090.8149999999996</v>
      </c>
      <c r="Q1082"/>
      <c r="R1082"/>
      <c r="S1082"/>
      <c r="T1082">
        <f>T1258</f>
        <v>0</v>
      </c>
      <c r="U1082" s="50">
        <f>1818.1*(K1077/0.27)</f>
        <v>1818.1</v>
      </c>
      <c r="V1082"/>
      <c r="W1082" s="58">
        <v>55</v>
      </c>
      <c r="X1082"/>
      <c r="Y1082"/>
      <c r="Z1082"/>
      <c r="AA1082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38"/>
      <c r="AW1082" s="38"/>
      <c r="AX1082" s="38"/>
      <c r="AY1082" s="38"/>
      <c r="AZ1082" s="6"/>
      <c r="BA1082" s="38" t="s">
        <v>63</v>
      </c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</row>
    <row r="1083" spans="1:63" s="19" customFormat="1" ht="15" x14ac:dyDescent="0.25">
      <c r="A1083" s="39" t="s">
        <v>786</v>
      </c>
      <c r="B1083" s="97" t="s">
        <v>127</v>
      </c>
      <c r="C1083" s="103" t="s">
        <v>128</v>
      </c>
      <c r="D1083" s="103"/>
      <c r="E1083" s="103"/>
      <c r="F1083" s="103"/>
      <c r="G1083" s="103"/>
      <c r="H1083" s="41" t="s">
        <v>129</v>
      </c>
      <c r="I1083" s="42">
        <v>2.7</v>
      </c>
      <c r="J1083" s="43">
        <v>1</v>
      </c>
      <c r="K1083" s="67">
        <v>2.7</v>
      </c>
      <c r="L1083" s="61">
        <v>94.58</v>
      </c>
      <c r="M1083" s="62">
        <v>1.17</v>
      </c>
      <c r="N1083" s="61">
        <v>110.66</v>
      </c>
      <c r="O1083" s="42"/>
      <c r="P1083" s="50">
        <v>3435.9929999999999</v>
      </c>
      <c r="Q1083"/>
      <c r="R1083"/>
      <c r="S1083"/>
      <c r="T1083">
        <f>T1258</f>
        <v>0</v>
      </c>
      <c r="U1083" s="50">
        <f>U1084</f>
        <v>298.78200000000004</v>
      </c>
      <c r="V1083"/>
      <c r="W1083" s="42"/>
      <c r="X1083"/>
      <c r="Y1083"/>
      <c r="Z1083"/>
      <c r="AA1083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38"/>
      <c r="AW1083" s="38"/>
      <c r="AX1083" s="38" t="s">
        <v>128</v>
      </c>
      <c r="AY1083" s="38"/>
      <c r="AZ1083" s="6"/>
      <c r="BA1083" s="38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</row>
    <row r="1084" spans="1:63" s="19" customFormat="1" ht="15" x14ac:dyDescent="0.25">
      <c r="A1084" s="59"/>
      <c r="B1084" s="98"/>
      <c r="C1084" s="102" t="s">
        <v>63</v>
      </c>
      <c r="D1084" s="102"/>
      <c r="E1084" s="102"/>
      <c r="F1084" s="102"/>
      <c r="G1084" s="102"/>
      <c r="H1084" s="41"/>
      <c r="I1084" s="42"/>
      <c r="J1084" s="42"/>
      <c r="K1084" s="42"/>
      <c r="L1084" s="45"/>
      <c r="M1084" s="42"/>
      <c r="N1084" s="45"/>
      <c r="O1084" s="42"/>
      <c r="P1084" s="50">
        <v>3435.9929999999999</v>
      </c>
      <c r="Q1084"/>
      <c r="R1084"/>
      <c r="S1084"/>
      <c r="T1084">
        <f>T1258</f>
        <v>0</v>
      </c>
      <c r="U1084" s="50">
        <f>2987.82*(K1083/W1084)</f>
        <v>298.78200000000004</v>
      </c>
      <c r="V1084"/>
      <c r="W1084" s="43">
        <v>27</v>
      </c>
      <c r="X1084"/>
      <c r="Y1084"/>
      <c r="Z1084"/>
      <c r="AA1084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38"/>
      <c r="AW1084" s="38"/>
      <c r="AX1084" s="38"/>
      <c r="AY1084" s="38"/>
      <c r="AZ1084" s="6"/>
      <c r="BA1084" s="38" t="s">
        <v>63</v>
      </c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</row>
    <row r="1085" spans="1:63" s="19" customFormat="1" ht="23.25" x14ac:dyDescent="0.25">
      <c r="A1085" s="39" t="s">
        <v>787</v>
      </c>
      <c r="B1085" s="97" t="s">
        <v>131</v>
      </c>
      <c r="C1085" s="103" t="s">
        <v>132</v>
      </c>
      <c r="D1085" s="103"/>
      <c r="E1085" s="103"/>
      <c r="F1085" s="103"/>
      <c r="G1085" s="103"/>
      <c r="H1085" s="41" t="s">
        <v>55</v>
      </c>
      <c r="I1085" s="42">
        <v>0.17100000000000001</v>
      </c>
      <c r="J1085" s="43">
        <v>1</v>
      </c>
      <c r="K1085" s="44">
        <f>I1085</f>
        <v>0.17100000000000001</v>
      </c>
      <c r="L1085" s="45"/>
      <c r="M1085" s="42"/>
      <c r="N1085" s="45"/>
      <c r="O1085" s="42"/>
      <c r="P1085" s="50"/>
      <c r="Q1085"/>
      <c r="R1085"/>
      <c r="S1085"/>
      <c r="T1085"/>
      <c r="U1085" s="46"/>
      <c r="V1085"/>
      <c r="W1085" s="42"/>
      <c r="X1085"/>
      <c r="Y1085"/>
      <c r="Z1085"/>
      <c r="AA1085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38"/>
      <c r="AW1085" s="38"/>
      <c r="AX1085" s="38" t="s">
        <v>132</v>
      </c>
      <c r="AY1085" s="38"/>
      <c r="AZ1085" s="6"/>
      <c r="BA1085" s="38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</row>
    <row r="1086" spans="1:63" s="19" customFormat="1" ht="15" x14ac:dyDescent="0.25">
      <c r="A1086" s="47"/>
      <c r="B1086" s="48"/>
      <c r="C1086" s="102" t="s">
        <v>56</v>
      </c>
      <c r="D1086" s="102"/>
      <c r="E1086" s="102"/>
      <c r="F1086" s="102"/>
      <c r="G1086" s="102"/>
      <c r="H1086" s="41"/>
      <c r="I1086" s="42"/>
      <c r="J1086" s="42"/>
      <c r="K1086" s="42"/>
      <c r="L1086" s="45"/>
      <c r="M1086" s="42"/>
      <c r="N1086" s="49"/>
      <c r="O1086" s="42"/>
      <c r="P1086" s="50">
        <v>3346.4539999999997</v>
      </c>
      <c r="Q1086" s="51"/>
      <c r="R1086" s="51"/>
      <c r="S1086"/>
      <c r="T1086">
        <f>T1258</f>
        <v>0</v>
      </c>
      <c r="U1086" s="50">
        <v>2909.96</v>
      </c>
      <c r="V1086"/>
      <c r="W1086" s="44">
        <v>0.13639999999999999</v>
      </c>
      <c r="X1086"/>
      <c r="Y1086"/>
      <c r="Z1086"/>
      <c r="AA108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38"/>
      <c r="AW1086" s="38"/>
      <c r="AX1086" s="38"/>
      <c r="AY1086" s="38" t="s">
        <v>56</v>
      </c>
      <c r="AZ1086" s="6"/>
      <c r="BA1086" s="38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</row>
    <row r="1087" spans="1:63" s="19" customFormat="1" ht="15" x14ac:dyDescent="0.25">
      <c r="A1087" s="52"/>
      <c r="B1087" s="53"/>
      <c r="C1087" s="104" t="s">
        <v>57</v>
      </c>
      <c r="D1087" s="104"/>
      <c r="E1087" s="104"/>
      <c r="F1087" s="104"/>
      <c r="G1087" s="104"/>
      <c r="H1087" s="54"/>
      <c r="I1087" s="55"/>
      <c r="J1087" s="55"/>
      <c r="K1087" s="55"/>
      <c r="L1087" s="56"/>
      <c r="M1087" s="55"/>
      <c r="N1087" s="56"/>
      <c r="O1087" s="55"/>
      <c r="P1087" s="77">
        <v>2585.7059999999997</v>
      </c>
      <c r="Q1087"/>
      <c r="R1087"/>
      <c r="S1087"/>
      <c r="T1087">
        <f>T1258</f>
        <v>0</v>
      </c>
      <c r="U1087" s="57">
        <v>2248.44</v>
      </c>
      <c r="V1087"/>
      <c r="W1087" s="42"/>
      <c r="X1087"/>
      <c r="Y1087"/>
      <c r="Z1087"/>
      <c r="AA1087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38"/>
      <c r="AW1087" s="38"/>
      <c r="AX1087" s="38"/>
      <c r="AY1087" s="38"/>
      <c r="AZ1087" s="6" t="s">
        <v>57</v>
      </c>
      <c r="BA1087" s="38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</row>
    <row r="1088" spans="1:63" s="19" customFormat="1" ht="15" x14ac:dyDescent="0.25">
      <c r="A1088" s="52"/>
      <c r="B1088" s="53" t="s">
        <v>58</v>
      </c>
      <c r="C1088" s="104" t="s">
        <v>59</v>
      </c>
      <c r="D1088" s="104"/>
      <c r="E1088" s="104"/>
      <c r="F1088" s="104"/>
      <c r="G1088" s="104"/>
      <c r="H1088" s="54" t="s">
        <v>60</v>
      </c>
      <c r="I1088" s="58">
        <v>100</v>
      </c>
      <c r="J1088" s="55"/>
      <c r="K1088" s="58">
        <v>100</v>
      </c>
      <c r="L1088" s="56"/>
      <c r="M1088" s="55"/>
      <c r="N1088" s="56"/>
      <c r="O1088" s="55"/>
      <c r="P1088" s="77">
        <v>2585.7059999999997</v>
      </c>
      <c r="Q1088"/>
      <c r="R1088"/>
      <c r="S1088"/>
      <c r="T1088">
        <f>T1258</f>
        <v>0</v>
      </c>
      <c r="U1088" s="57">
        <v>2248.44</v>
      </c>
      <c r="V1088"/>
      <c r="W1088" s="55"/>
      <c r="X1088"/>
      <c r="Y1088"/>
      <c r="Z1088"/>
      <c r="AA1088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38"/>
      <c r="AW1088" s="38"/>
      <c r="AX1088" s="38"/>
      <c r="AY1088" s="38"/>
      <c r="AZ1088" s="6" t="s">
        <v>59</v>
      </c>
      <c r="BA1088" s="38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</row>
    <row r="1089" spans="1:63" s="19" customFormat="1" ht="15" x14ac:dyDescent="0.25">
      <c r="A1089" s="52"/>
      <c r="B1089" s="53" t="s">
        <v>61</v>
      </c>
      <c r="C1089" s="104" t="s">
        <v>62</v>
      </c>
      <c r="D1089" s="104"/>
      <c r="E1089" s="104"/>
      <c r="F1089" s="104"/>
      <c r="G1089" s="104"/>
      <c r="H1089" s="54" t="s">
        <v>60</v>
      </c>
      <c r="I1089" s="58">
        <v>49</v>
      </c>
      <c r="J1089" s="55"/>
      <c r="K1089" s="58">
        <v>49</v>
      </c>
      <c r="L1089" s="56"/>
      <c r="M1089" s="55"/>
      <c r="N1089" s="56"/>
      <c r="O1089" s="55"/>
      <c r="P1089" s="77">
        <v>1267.001</v>
      </c>
      <c r="Q1089"/>
      <c r="R1089"/>
      <c r="S1089"/>
      <c r="T1089">
        <f>T1258</f>
        <v>0</v>
      </c>
      <c r="U1089" s="57">
        <v>1101.74</v>
      </c>
      <c r="V1089"/>
      <c r="W1089" s="58">
        <v>100</v>
      </c>
      <c r="X1089"/>
      <c r="Y1089"/>
      <c r="Z1089"/>
      <c r="AA1089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38"/>
      <c r="AW1089" s="38"/>
      <c r="AX1089" s="38"/>
      <c r="AY1089" s="38"/>
      <c r="AZ1089" s="6" t="s">
        <v>62</v>
      </c>
      <c r="BA1089" s="38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</row>
    <row r="1090" spans="1:63" s="19" customFormat="1" ht="15" x14ac:dyDescent="0.25">
      <c r="A1090" s="59"/>
      <c r="B1090" s="98"/>
      <c r="C1090" s="102" t="s">
        <v>63</v>
      </c>
      <c r="D1090" s="102"/>
      <c r="E1090" s="102"/>
      <c r="F1090" s="102"/>
      <c r="G1090" s="102"/>
      <c r="H1090" s="41"/>
      <c r="I1090" s="42"/>
      <c r="J1090" s="42"/>
      <c r="K1090" s="42"/>
      <c r="L1090" s="45"/>
      <c r="M1090" s="42"/>
      <c r="N1090" s="49">
        <v>45895.45</v>
      </c>
      <c r="O1090" s="42"/>
      <c r="P1090" s="50">
        <v>9025.3411363636387</v>
      </c>
      <c r="Q1090"/>
      <c r="R1090"/>
      <c r="S1090"/>
      <c r="T1090">
        <f>T1258</f>
        <v>0</v>
      </c>
      <c r="U1090" s="50">
        <f>6260.14*(K1085/W1086)</f>
        <v>7848.1227272727292</v>
      </c>
      <c r="V1090"/>
      <c r="W1090" s="58">
        <v>49</v>
      </c>
      <c r="X1090"/>
      <c r="Y1090"/>
      <c r="Z1090"/>
      <c r="AA1090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38"/>
      <c r="AW1090" s="38"/>
      <c r="AX1090" s="38"/>
      <c r="AY1090" s="38"/>
      <c r="AZ1090" s="6"/>
      <c r="BA1090" s="38" t="s">
        <v>63</v>
      </c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</row>
    <row r="1091" spans="1:63" s="19" customFormat="1" ht="23.25" x14ac:dyDescent="0.25">
      <c r="A1091" s="39" t="s">
        <v>788</v>
      </c>
      <c r="B1091" s="97" t="s">
        <v>134</v>
      </c>
      <c r="C1091" s="103" t="s">
        <v>135</v>
      </c>
      <c r="D1091" s="103"/>
      <c r="E1091" s="103"/>
      <c r="F1091" s="103"/>
      <c r="G1091" s="103"/>
      <c r="H1091" s="41" t="s">
        <v>71</v>
      </c>
      <c r="I1091" s="42">
        <f>0.004092*1.5</f>
        <v>6.1380000000000002E-3</v>
      </c>
      <c r="J1091" s="43">
        <v>1</v>
      </c>
      <c r="K1091" s="68">
        <f>I1091</f>
        <v>6.1380000000000002E-3</v>
      </c>
      <c r="L1091" s="49">
        <v>52663.94</v>
      </c>
      <c r="M1091" s="62">
        <v>1.81</v>
      </c>
      <c r="N1091" s="49">
        <v>95321.73</v>
      </c>
      <c r="O1091" s="42"/>
      <c r="P1091" s="50">
        <v>672.85349999999994</v>
      </c>
      <c r="Q1091"/>
      <c r="R1091"/>
      <c r="S1091"/>
      <c r="T1091">
        <f>T1258</f>
        <v>0</v>
      </c>
      <c r="U1091" s="63">
        <f>U1092</f>
        <v>585.09</v>
      </c>
      <c r="V1091"/>
      <c r="W1091" s="42"/>
      <c r="X1091"/>
      <c r="Y1091"/>
      <c r="Z1091"/>
      <c r="AA1091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38"/>
      <c r="AW1091" s="38"/>
      <c r="AX1091" s="38" t="s">
        <v>135</v>
      </c>
      <c r="AY1091" s="38"/>
      <c r="AZ1091" s="6"/>
      <c r="BA1091" s="38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</row>
    <row r="1092" spans="1:63" s="19" customFormat="1" ht="15" x14ac:dyDescent="0.25">
      <c r="A1092" s="59"/>
      <c r="B1092" s="98"/>
      <c r="C1092" s="102" t="s">
        <v>63</v>
      </c>
      <c r="D1092" s="102"/>
      <c r="E1092" s="102"/>
      <c r="F1092" s="102"/>
      <c r="G1092" s="102"/>
      <c r="H1092" s="41"/>
      <c r="I1092" s="42"/>
      <c r="J1092" s="42"/>
      <c r="K1092" s="42"/>
      <c r="L1092" s="45"/>
      <c r="M1092" s="42"/>
      <c r="N1092" s="45"/>
      <c r="O1092" s="42"/>
      <c r="P1092" s="50">
        <v>672.85349999999994</v>
      </c>
      <c r="Q1092"/>
      <c r="R1092"/>
      <c r="S1092"/>
      <c r="T1092">
        <f>T1258</f>
        <v>0</v>
      </c>
      <c r="U1092" s="63">
        <f>390.06*(K1091/W1092)</f>
        <v>585.09</v>
      </c>
      <c r="V1092"/>
      <c r="W1092" s="68">
        <v>4.0920000000000002E-3</v>
      </c>
      <c r="X1092"/>
      <c r="Y1092"/>
      <c r="Z1092"/>
      <c r="AA1092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38"/>
      <c r="AW1092" s="38"/>
      <c r="AX1092" s="38"/>
      <c r="AY1092" s="38"/>
      <c r="AZ1092" s="6"/>
      <c r="BA1092" s="38" t="s">
        <v>63</v>
      </c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</row>
    <row r="1093" spans="1:63" s="19" customFormat="1" ht="23.25" x14ac:dyDescent="0.25">
      <c r="A1093" s="39" t="s">
        <v>789</v>
      </c>
      <c r="B1093" s="97" t="s">
        <v>137</v>
      </c>
      <c r="C1093" s="103" t="s">
        <v>138</v>
      </c>
      <c r="D1093" s="103"/>
      <c r="E1093" s="103"/>
      <c r="F1093" s="103"/>
      <c r="G1093" s="103"/>
      <c r="H1093" s="41" t="s">
        <v>67</v>
      </c>
      <c r="I1093" s="42">
        <f>2.728*1.5</f>
        <v>4.0920000000000005</v>
      </c>
      <c r="J1093" s="43">
        <v>1</v>
      </c>
      <c r="K1093" s="66">
        <f>I1093</f>
        <v>4.0920000000000005</v>
      </c>
      <c r="L1093" s="61">
        <v>144.12</v>
      </c>
      <c r="M1093" s="67">
        <v>1.2</v>
      </c>
      <c r="N1093" s="61">
        <v>172.94</v>
      </c>
      <c r="O1093" s="42"/>
      <c r="P1093" s="50">
        <v>813.82049999999992</v>
      </c>
      <c r="Q1093"/>
      <c r="R1093"/>
      <c r="S1093"/>
      <c r="T1093">
        <f>T1258</f>
        <v>0</v>
      </c>
      <c r="U1093" s="63">
        <f>U1094</f>
        <v>707.67</v>
      </c>
      <c r="V1093"/>
      <c r="W1093" s="42"/>
      <c r="X1093"/>
      <c r="Y1093"/>
      <c r="Z1093"/>
      <c r="AA1093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38"/>
      <c r="AW1093" s="38"/>
      <c r="AX1093" s="38" t="s">
        <v>138</v>
      </c>
      <c r="AY1093" s="38"/>
      <c r="AZ1093" s="6"/>
      <c r="BA1093" s="38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</row>
    <row r="1094" spans="1:63" s="19" customFormat="1" ht="15" x14ac:dyDescent="0.25">
      <c r="A1094" s="59"/>
      <c r="B1094" s="98"/>
      <c r="C1094" s="102" t="s">
        <v>63</v>
      </c>
      <c r="D1094" s="102"/>
      <c r="E1094" s="102"/>
      <c r="F1094" s="102"/>
      <c r="G1094" s="102"/>
      <c r="H1094" s="41"/>
      <c r="I1094" s="42"/>
      <c r="J1094" s="42"/>
      <c r="K1094" s="42"/>
      <c r="L1094" s="45"/>
      <c r="M1094" s="42"/>
      <c r="N1094" s="45"/>
      <c r="O1094" s="42"/>
      <c r="P1094" s="50">
        <v>813.82049999999992</v>
      </c>
      <c r="Q1094"/>
      <c r="R1094"/>
      <c r="S1094"/>
      <c r="T1094">
        <f>T1258</f>
        <v>0</v>
      </c>
      <c r="U1094" s="63">
        <f>471.78*(K1093/W1094)</f>
        <v>707.67</v>
      </c>
      <c r="V1094"/>
      <c r="W1094" s="66">
        <v>2.7280000000000002</v>
      </c>
      <c r="X1094"/>
      <c r="Y1094"/>
      <c r="Z1094"/>
      <c r="AA1094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38"/>
      <c r="AW1094" s="38"/>
      <c r="AX1094" s="38"/>
      <c r="AY1094" s="38"/>
      <c r="AZ1094" s="6"/>
      <c r="BA1094" s="38" t="s">
        <v>63</v>
      </c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</row>
    <row r="1095" spans="1:63" s="19" customFormat="1" ht="45.75" x14ac:dyDescent="0.25">
      <c r="A1095" s="39" t="s">
        <v>790</v>
      </c>
      <c r="B1095" s="97" t="s">
        <v>140</v>
      </c>
      <c r="C1095" s="103" t="s">
        <v>141</v>
      </c>
      <c r="D1095" s="103"/>
      <c r="E1095" s="103"/>
      <c r="F1095" s="103"/>
      <c r="G1095" s="103"/>
      <c r="H1095" s="41" t="s">
        <v>55</v>
      </c>
      <c r="I1095" s="42">
        <v>39.020000000000003</v>
      </c>
      <c r="J1095" s="43">
        <v>1</v>
      </c>
      <c r="K1095" s="62">
        <v>39.020000000000003</v>
      </c>
      <c r="L1095" s="45"/>
      <c r="M1095" s="42"/>
      <c r="N1095" s="45"/>
      <c r="O1095" s="42"/>
      <c r="P1095" s="50"/>
      <c r="Q1095"/>
      <c r="R1095"/>
      <c r="S1095"/>
      <c r="T1095"/>
      <c r="U1095" s="46"/>
      <c r="V1095"/>
      <c r="W1095" s="42"/>
      <c r="X1095"/>
      <c r="Y1095"/>
      <c r="Z1095"/>
      <c r="AA1095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38"/>
      <c r="AW1095" s="38"/>
      <c r="AX1095" s="38" t="s">
        <v>141</v>
      </c>
      <c r="AY1095" s="38"/>
      <c r="AZ1095" s="6"/>
      <c r="BA1095" s="38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</row>
    <row r="1096" spans="1:63" s="19" customFormat="1" ht="15" x14ac:dyDescent="0.25">
      <c r="A1096" s="47"/>
      <c r="B1096" s="48"/>
      <c r="C1096" s="102" t="s">
        <v>56</v>
      </c>
      <c r="D1096" s="102"/>
      <c r="E1096" s="102"/>
      <c r="F1096" s="102"/>
      <c r="G1096" s="102"/>
      <c r="H1096" s="41"/>
      <c r="I1096" s="42"/>
      <c r="J1096" s="42"/>
      <c r="K1096" s="42"/>
      <c r="L1096" s="45"/>
      <c r="M1096" s="42"/>
      <c r="N1096" s="49"/>
      <c r="O1096" s="42"/>
      <c r="P1096" s="50">
        <v>39354.218999999997</v>
      </c>
      <c r="Q1096" s="51"/>
      <c r="R1096" s="51"/>
      <c r="S1096"/>
      <c r="T1096">
        <f>T1258</f>
        <v>0</v>
      </c>
      <c r="U1096" s="50">
        <v>34221.06</v>
      </c>
      <c r="V1096"/>
      <c r="W1096" s="62">
        <v>0.39</v>
      </c>
      <c r="X1096"/>
      <c r="Y1096"/>
      <c r="Z1096"/>
      <c r="AA109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38"/>
      <c r="AW1096" s="38"/>
      <c r="AX1096" s="38"/>
      <c r="AY1096" s="38" t="s">
        <v>56</v>
      </c>
      <c r="AZ1096" s="6"/>
      <c r="BA1096" s="38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</row>
    <row r="1097" spans="1:63" s="19" customFormat="1" ht="15" x14ac:dyDescent="0.25">
      <c r="A1097" s="52"/>
      <c r="B1097" s="53"/>
      <c r="C1097" s="104" t="s">
        <v>57</v>
      </c>
      <c r="D1097" s="104"/>
      <c r="E1097" s="104"/>
      <c r="F1097" s="104"/>
      <c r="G1097" s="104"/>
      <c r="H1097" s="54"/>
      <c r="I1097" s="55"/>
      <c r="J1097" s="55"/>
      <c r="K1097" s="55"/>
      <c r="L1097" s="56"/>
      <c r="M1097" s="55"/>
      <c r="N1097" s="56"/>
      <c r="O1097" s="55"/>
      <c r="P1097" s="77">
        <v>35608.898999999998</v>
      </c>
      <c r="Q1097"/>
      <c r="R1097"/>
      <c r="S1097"/>
      <c r="T1097">
        <f>T1258</f>
        <v>0</v>
      </c>
      <c r="U1097" s="57">
        <v>30964.26</v>
      </c>
      <c r="V1097"/>
      <c r="W1097" s="42"/>
      <c r="X1097"/>
      <c r="Y1097"/>
      <c r="Z1097"/>
      <c r="AA1097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38"/>
      <c r="AW1097" s="38"/>
      <c r="AX1097" s="38"/>
      <c r="AY1097" s="38"/>
      <c r="AZ1097" s="6" t="s">
        <v>57</v>
      </c>
      <c r="BA1097" s="38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</row>
    <row r="1098" spans="1:63" s="19" customFormat="1" ht="15" x14ac:dyDescent="0.25">
      <c r="A1098" s="52"/>
      <c r="B1098" s="53" t="s">
        <v>58</v>
      </c>
      <c r="C1098" s="104" t="s">
        <v>59</v>
      </c>
      <c r="D1098" s="104"/>
      <c r="E1098" s="104"/>
      <c r="F1098" s="104"/>
      <c r="G1098" s="104"/>
      <c r="H1098" s="54" t="s">
        <v>60</v>
      </c>
      <c r="I1098" s="58">
        <v>100</v>
      </c>
      <c r="J1098" s="55"/>
      <c r="K1098" s="58">
        <v>100</v>
      </c>
      <c r="L1098" s="56"/>
      <c r="M1098" s="55"/>
      <c r="N1098" s="56"/>
      <c r="O1098" s="55"/>
      <c r="P1098" s="77">
        <v>35608.898999999998</v>
      </c>
      <c r="Q1098"/>
      <c r="R1098"/>
      <c r="S1098"/>
      <c r="T1098">
        <f>T1258</f>
        <v>0</v>
      </c>
      <c r="U1098" s="57">
        <v>30964.26</v>
      </c>
      <c r="V1098"/>
      <c r="W1098" s="55"/>
      <c r="X1098"/>
      <c r="Y1098"/>
      <c r="Z1098"/>
      <c r="AA1098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38"/>
      <c r="AW1098" s="38"/>
      <c r="AX1098" s="38"/>
      <c r="AY1098" s="38"/>
      <c r="AZ1098" s="6" t="s">
        <v>59</v>
      </c>
      <c r="BA1098" s="38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</row>
    <row r="1099" spans="1:63" s="19" customFormat="1" ht="15" x14ac:dyDescent="0.25">
      <c r="A1099" s="52"/>
      <c r="B1099" s="53" t="s">
        <v>61</v>
      </c>
      <c r="C1099" s="104" t="s">
        <v>62</v>
      </c>
      <c r="D1099" s="104"/>
      <c r="E1099" s="104"/>
      <c r="F1099" s="104"/>
      <c r="G1099" s="104"/>
      <c r="H1099" s="54" t="s">
        <v>60</v>
      </c>
      <c r="I1099" s="58">
        <v>49</v>
      </c>
      <c r="J1099" s="55"/>
      <c r="K1099" s="58">
        <v>49</v>
      </c>
      <c r="L1099" s="56"/>
      <c r="M1099" s="55"/>
      <c r="N1099" s="56"/>
      <c r="O1099" s="55"/>
      <c r="P1099" s="77">
        <v>17448.363499999999</v>
      </c>
      <c r="Q1099"/>
      <c r="R1099"/>
      <c r="S1099"/>
      <c r="T1099">
        <f>T1258</f>
        <v>0</v>
      </c>
      <c r="U1099" s="57">
        <v>15172.49</v>
      </c>
      <c r="V1099"/>
      <c r="W1099" s="58">
        <v>100</v>
      </c>
      <c r="X1099"/>
      <c r="Y1099"/>
      <c r="Z1099"/>
      <c r="AA1099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38"/>
      <c r="AW1099" s="38"/>
      <c r="AX1099" s="38"/>
      <c r="AY1099" s="38"/>
      <c r="AZ1099" s="6" t="s">
        <v>62</v>
      </c>
      <c r="BA1099" s="38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</row>
    <row r="1100" spans="1:63" s="19" customFormat="1" ht="15" x14ac:dyDescent="0.25">
      <c r="A1100" s="59"/>
      <c r="B1100" s="98"/>
      <c r="C1100" s="102" t="s">
        <v>63</v>
      </c>
      <c r="D1100" s="102"/>
      <c r="E1100" s="102"/>
      <c r="F1100" s="102"/>
      <c r="G1100" s="102"/>
      <c r="H1100" s="41"/>
      <c r="I1100" s="42"/>
      <c r="J1100" s="42"/>
      <c r="K1100" s="42"/>
      <c r="L1100" s="45"/>
      <c r="M1100" s="42"/>
      <c r="N1100" s="49">
        <v>206045.67</v>
      </c>
      <c r="O1100" s="42"/>
      <c r="P1100" s="50">
        <v>108998.15766666667</v>
      </c>
      <c r="Q1100"/>
      <c r="R1100"/>
      <c r="S1100"/>
      <c r="T1100">
        <f>T1258</f>
        <v>0</v>
      </c>
      <c r="U1100" s="50">
        <f>80357.81*(K1095/W1096)</f>
        <v>8039901.913333334</v>
      </c>
      <c r="V1100"/>
      <c r="W1100" s="58">
        <v>49</v>
      </c>
      <c r="X1100"/>
      <c r="Y1100"/>
      <c r="Z1100"/>
      <c r="AA1100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38"/>
      <c r="AW1100" s="38"/>
      <c r="AX1100" s="38"/>
      <c r="AY1100" s="38"/>
      <c r="AZ1100" s="6"/>
      <c r="BA1100" s="38" t="s">
        <v>63</v>
      </c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</row>
    <row r="1101" spans="1:63" s="19" customFormat="1" ht="23.25" x14ac:dyDescent="0.25">
      <c r="A1101" s="39" t="s">
        <v>791</v>
      </c>
      <c r="B1101" s="97" t="s">
        <v>143</v>
      </c>
      <c r="C1101" s="103" t="s">
        <v>144</v>
      </c>
      <c r="D1101" s="103"/>
      <c r="E1101" s="103"/>
      <c r="F1101" s="103"/>
      <c r="G1101" s="103"/>
      <c r="H1101" s="41" t="s">
        <v>105</v>
      </c>
      <c r="I1101" s="42">
        <v>39.799999999999997</v>
      </c>
      <c r="J1101" s="43">
        <v>1</v>
      </c>
      <c r="K1101" s="67">
        <v>39.799999999999997</v>
      </c>
      <c r="L1101" s="61">
        <v>498.7</v>
      </c>
      <c r="M1101" s="62">
        <v>1.22</v>
      </c>
      <c r="N1101" s="61">
        <v>608.41</v>
      </c>
      <c r="O1101" s="42"/>
      <c r="P1101" s="50">
        <v>27287.1885</v>
      </c>
      <c r="Q1101"/>
      <c r="R1101"/>
      <c r="S1101"/>
      <c r="T1101">
        <f>T1258</f>
        <v>0</v>
      </c>
      <c r="U1101" s="50">
        <f>U1102</f>
        <v>24214.718000000001</v>
      </c>
      <c r="V1101"/>
      <c r="W1101" s="42"/>
      <c r="X1101"/>
      <c r="Y1101"/>
      <c r="Z1101"/>
      <c r="AA1101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38"/>
      <c r="AW1101" s="38"/>
      <c r="AX1101" s="38" t="s">
        <v>144</v>
      </c>
      <c r="AY1101" s="38"/>
      <c r="AZ1101" s="6"/>
      <c r="BA1101" s="38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</row>
    <row r="1102" spans="1:63" s="19" customFormat="1" ht="15" x14ac:dyDescent="0.25">
      <c r="A1102" s="59"/>
      <c r="B1102" s="98"/>
      <c r="C1102" s="102" t="s">
        <v>63</v>
      </c>
      <c r="D1102" s="102"/>
      <c r="E1102" s="102"/>
      <c r="F1102" s="102"/>
      <c r="G1102" s="102"/>
      <c r="H1102" s="41"/>
      <c r="I1102" s="42"/>
      <c r="J1102" s="42"/>
      <c r="K1102" s="42"/>
      <c r="L1102" s="45"/>
      <c r="M1102" s="42"/>
      <c r="N1102" s="45"/>
      <c r="O1102" s="42"/>
      <c r="P1102" s="50">
        <v>27287.1885</v>
      </c>
      <c r="Q1102"/>
      <c r="R1102"/>
      <c r="S1102"/>
      <c r="T1102">
        <f>T1258</f>
        <v>0</v>
      </c>
      <c r="U1102" s="50">
        <f>23727.99*(K1101/W1102)</f>
        <v>24214.718000000001</v>
      </c>
      <c r="V1102"/>
      <c r="W1102" s="43">
        <v>39</v>
      </c>
      <c r="X1102"/>
      <c r="Y1102"/>
      <c r="Z1102"/>
      <c r="AA1102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38"/>
      <c r="AW1102" s="38"/>
      <c r="AX1102" s="38"/>
      <c r="AY1102" s="38"/>
      <c r="AZ1102" s="6"/>
      <c r="BA1102" s="38" t="s">
        <v>63</v>
      </c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</row>
    <row r="1103" spans="1:63" s="19" customFormat="1" ht="15" x14ac:dyDescent="0.25">
      <c r="A1103" s="107" t="s">
        <v>145</v>
      </c>
      <c r="B1103" s="108"/>
      <c r="C1103" s="108"/>
      <c r="D1103" s="108"/>
      <c r="E1103" s="108"/>
      <c r="F1103" s="108"/>
      <c r="G1103" s="108"/>
      <c r="H1103" s="108"/>
      <c r="I1103" s="108"/>
      <c r="J1103" s="108"/>
      <c r="K1103" s="108"/>
      <c r="L1103" s="108"/>
      <c r="M1103" s="108"/>
      <c r="N1103" s="108"/>
      <c r="O1103" s="108"/>
      <c r="P1103" s="109"/>
      <c r="Q1103"/>
      <c r="R1103"/>
      <c r="S1103"/>
      <c r="T1103"/>
      <c r="U1103"/>
      <c r="V1103"/>
      <c r="W1103"/>
      <c r="X1103"/>
      <c r="Y1103"/>
      <c r="Z1103"/>
      <c r="AA1103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38"/>
      <c r="AW1103" s="38" t="s">
        <v>145</v>
      </c>
      <c r="AX1103" s="38"/>
      <c r="AY1103" s="38"/>
      <c r="AZ1103" s="6"/>
      <c r="BA1103" s="38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</row>
    <row r="1104" spans="1:63" s="19" customFormat="1" ht="23.25" x14ac:dyDescent="0.25">
      <c r="A1104" s="39" t="s">
        <v>792</v>
      </c>
      <c r="B1104" s="97" t="s">
        <v>147</v>
      </c>
      <c r="C1104" s="103" t="s">
        <v>148</v>
      </c>
      <c r="D1104" s="103"/>
      <c r="E1104" s="103"/>
      <c r="F1104" s="103"/>
      <c r="G1104" s="103"/>
      <c r="H1104" s="41" t="s">
        <v>55</v>
      </c>
      <c r="I1104" s="42">
        <v>2.9520000000000001E-2</v>
      </c>
      <c r="J1104" s="43">
        <v>1</v>
      </c>
      <c r="K1104" s="69">
        <v>2.9520000000000001E-2</v>
      </c>
      <c r="L1104" s="45"/>
      <c r="M1104" s="42"/>
      <c r="N1104" s="45"/>
      <c r="O1104" s="42"/>
      <c r="P1104" s="46"/>
      <c r="Q1104"/>
      <c r="R1104"/>
      <c r="S1104"/>
      <c r="T1104"/>
      <c r="U1104"/>
      <c r="V1104"/>
      <c r="W1104" s="69">
        <v>2.9520000000000001E-2</v>
      </c>
      <c r="X1104"/>
      <c r="Y1104"/>
      <c r="Z1104"/>
      <c r="AA1104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38"/>
      <c r="AW1104" s="38"/>
      <c r="AX1104" s="38" t="s">
        <v>148</v>
      </c>
      <c r="AY1104" s="38"/>
      <c r="AZ1104" s="6"/>
      <c r="BA1104" s="38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</row>
    <row r="1105" spans="1:63" s="19" customFormat="1" ht="15" x14ac:dyDescent="0.25">
      <c r="A1105" s="47"/>
      <c r="B1105" s="48"/>
      <c r="C1105" s="102" t="s">
        <v>56</v>
      </c>
      <c r="D1105" s="102"/>
      <c r="E1105" s="102"/>
      <c r="F1105" s="102"/>
      <c r="G1105" s="102"/>
      <c r="H1105" s="41"/>
      <c r="I1105" s="42"/>
      <c r="J1105" s="42"/>
      <c r="K1105" s="42"/>
      <c r="L1105" s="45"/>
      <c r="M1105" s="42"/>
      <c r="N1105" s="49"/>
      <c r="O1105" s="42"/>
      <c r="P1105" s="50">
        <v>1189.0539999999999</v>
      </c>
      <c r="Q1105" s="51"/>
      <c r="R1105" s="51"/>
      <c r="S1105"/>
      <c r="T1105">
        <f>T1258</f>
        <v>0</v>
      </c>
      <c r="U1105" s="50">
        <v>1033.96</v>
      </c>
      <c r="V1105"/>
      <c r="W1105" s="42"/>
      <c r="X1105"/>
      <c r="Y1105"/>
      <c r="Z1105"/>
      <c r="AA1105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38"/>
      <c r="AW1105" s="38"/>
      <c r="AX1105" s="38"/>
      <c r="AY1105" s="38" t="s">
        <v>56</v>
      </c>
      <c r="AZ1105" s="6"/>
      <c r="BA1105" s="38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</row>
    <row r="1106" spans="1:63" s="19" customFormat="1" ht="15" x14ac:dyDescent="0.25">
      <c r="A1106" s="52"/>
      <c r="B1106" s="53"/>
      <c r="C1106" s="104" t="s">
        <v>57</v>
      </c>
      <c r="D1106" s="104"/>
      <c r="E1106" s="104"/>
      <c r="F1106" s="104"/>
      <c r="G1106" s="104"/>
      <c r="H1106" s="54"/>
      <c r="I1106" s="55"/>
      <c r="J1106" s="55"/>
      <c r="K1106" s="55"/>
      <c r="L1106" s="56"/>
      <c r="M1106" s="55"/>
      <c r="N1106" s="56"/>
      <c r="O1106" s="55"/>
      <c r="P1106" s="77">
        <v>1176.5994999999998</v>
      </c>
      <c r="Q1106"/>
      <c r="R1106"/>
      <c r="S1106"/>
      <c r="T1106">
        <f>T1258</f>
        <v>0</v>
      </c>
      <c r="U1106" s="57">
        <v>1023.13</v>
      </c>
      <c r="V1106"/>
      <c r="W1106" s="55"/>
      <c r="X1106"/>
      <c r="Y1106"/>
      <c r="Z1106"/>
      <c r="AA110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38"/>
      <c r="AW1106" s="38"/>
      <c r="AX1106" s="38"/>
      <c r="AY1106" s="38"/>
      <c r="AZ1106" s="6" t="s">
        <v>57</v>
      </c>
      <c r="BA1106" s="38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</row>
    <row r="1107" spans="1:63" s="19" customFormat="1" ht="34.5" x14ac:dyDescent="0.25">
      <c r="A1107" s="52"/>
      <c r="B1107" s="53" t="s">
        <v>149</v>
      </c>
      <c r="C1107" s="104" t="s">
        <v>150</v>
      </c>
      <c r="D1107" s="104"/>
      <c r="E1107" s="104"/>
      <c r="F1107" s="104"/>
      <c r="G1107" s="104"/>
      <c r="H1107" s="54" t="s">
        <v>60</v>
      </c>
      <c r="I1107" s="58">
        <v>91</v>
      </c>
      <c r="J1107" s="55"/>
      <c r="K1107" s="58">
        <v>91</v>
      </c>
      <c r="L1107" s="56"/>
      <c r="M1107" s="55"/>
      <c r="N1107" s="56"/>
      <c r="O1107" s="55"/>
      <c r="P1107" s="77">
        <v>1070.7074999999998</v>
      </c>
      <c r="Q1107"/>
      <c r="R1107"/>
      <c r="S1107"/>
      <c r="T1107">
        <f>T1258</f>
        <v>0</v>
      </c>
      <c r="U1107" s="65">
        <v>931.05</v>
      </c>
      <c r="V1107"/>
      <c r="W1107" s="58">
        <v>91</v>
      </c>
      <c r="X1107"/>
      <c r="Y1107"/>
      <c r="Z1107"/>
      <c r="AA1107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38"/>
      <c r="AW1107" s="38"/>
      <c r="AX1107" s="38"/>
      <c r="AY1107" s="38"/>
      <c r="AZ1107" s="6" t="s">
        <v>150</v>
      </c>
      <c r="BA1107" s="38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</row>
    <row r="1108" spans="1:63" s="19" customFormat="1" ht="34.5" x14ac:dyDescent="0.25">
      <c r="A1108" s="52"/>
      <c r="B1108" s="53" t="s">
        <v>151</v>
      </c>
      <c r="C1108" s="104" t="s">
        <v>152</v>
      </c>
      <c r="D1108" s="104"/>
      <c r="E1108" s="104"/>
      <c r="F1108" s="104"/>
      <c r="G1108" s="104"/>
      <c r="H1108" s="54" t="s">
        <v>60</v>
      </c>
      <c r="I1108" s="58">
        <v>52</v>
      </c>
      <c r="J1108" s="55"/>
      <c r="K1108" s="58">
        <v>52</v>
      </c>
      <c r="L1108" s="56"/>
      <c r="M1108" s="55"/>
      <c r="N1108" s="56"/>
      <c r="O1108" s="55"/>
      <c r="P1108" s="77">
        <v>611.83449999999993</v>
      </c>
      <c r="Q1108"/>
      <c r="R1108"/>
      <c r="S1108"/>
      <c r="T1108">
        <f>T1258</f>
        <v>0</v>
      </c>
      <c r="U1108" s="65">
        <v>532.03</v>
      </c>
      <c r="V1108"/>
      <c r="W1108" s="58">
        <v>52</v>
      </c>
      <c r="X1108"/>
      <c r="Y1108"/>
      <c r="Z1108"/>
      <c r="AA1108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38"/>
      <c r="AW1108" s="38"/>
      <c r="AX1108" s="38"/>
      <c r="AY1108" s="38"/>
      <c r="AZ1108" s="6" t="s">
        <v>152</v>
      </c>
      <c r="BA1108" s="38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</row>
    <row r="1109" spans="1:63" s="19" customFormat="1" ht="15" x14ac:dyDescent="0.25">
      <c r="A1109" s="59"/>
      <c r="B1109" s="98"/>
      <c r="C1109" s="102" t="s">
        <v>63</v>
      </c>
      <c r="D1109" s="102"/>
      <c r="E1109" s="102"/>
      <c r="F1109" s="102"/>
      <c r="G1109" s="102"/>
      <c r="H1109" s="41"/>
      <c r="I1109" s="42"/>
      <c r="J1109" s="42"/>
      <c r="K1109" s="42"/>
      <c r="L1109" s="45"/>
      <c r="M1109" s="42"/>
      <c r="N1109" s="49">
        <v>84588.08</v>
      </c>
      <c r="O1109" s="42"/>
      <c r="P1109" s="50">
        <v>2871.5959999999995</v>
      </c>
      <c r="Q1109"/>
      <c r="R1109"/>
      <c r="S1109"/>
      <c r="T1109">
        <f>T1258</f>
        <v>0</v>
      </c>
      <c r="U1109" s="50">
        <f>2497.04*(K1104/W1104)</f>
        <v>2497.04</v>
      </c>
      <c r="V1109"/>
      <c r="W1109" s="42"/>
      <c r="X1109"/>
      <c r="Y1109"/>
      <c r="Z1109"/>
      <c r="AA1109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38"/>
      <c r="AW1109" s="38"/>
      <c r="AX1109" s="38"/>
      <c r="AY1109" s="38"/>
      <c r="AZ1109" s="6"/>
      <c r="BA1109" s="38" t="s">
        <v>63</v>
      </c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</row>
    <row r="1110" spans="1:63" s="19" customFormat="1" ht="23.25" x14ac:dyDescent="0.25">
      <c r="A1110" s="39" t="s">
        <v>793</v>
      </c>
      <c r="B1110" s="97" t="s">
        <v>154</v>
      </c>
      <c r="C1110" s="103" t="s">
        <v>155</v>
      </c>
      <c r="D1110" s="103"/>
      <c r="E1110" s="103"/>
      <c r="F1110" s="103"/>
      <c r="G1110" s="103"/>
      <c r="H1110" s="41" t="s">
        <v>55</v>
      </c>
      <c r="I1110" s="42">
        <v>0.17399999999999999</v>
      </c>
      <c r="J1110" s="43">
        <v>1</v>
      </c>
      <c r="K1110" s="69">
        <v>1.7399999999999999E-2</v>
      </c>
      <c r="L1110" s="45"/>
      <c r="M1110" s="42"/>
      <c r="N1110" s="45"/>
      <c r="O1110" s="42"/>
      <c r="P1110" s="50"/>
      <c r="Q1110"/>
      <c r="R1110"/>
      <c r="S1110"/>
      <c r="T1110"/>
      <c r="U1110" s="46"/>
      <c r="V1110"/>
      <c r="W1110" s="69">
        <v>2.9520000000000001E-2</v>
      </c>
      <c r="X1110"/>
      <c r="Y1110"/>
      <c r="Z1110"/>
      <c r="AA1110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38"/>
      <c r="AW1110" s="38"/>
      <c r="AX1110" s="38" t="s">
        <v>155</v>
      </c>
      <c r="AY1110" s="38"/>
      <c r="AZ1110" s="6"/>
      <c r="BA1110" s="38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</row>
    <row r="1111" spans="1:63" s="19" customFormat="1" ht="15" x14ac:dyDescent="0.25">
      <c r="A1111" s="47"/>
      <c r="B1111" s="48"/>
      <c r="C1111" s="102" t="s">
        <v>56</v>
      </c>
      <c r="D1111" s="102"/>
      <c r="E1111" s="102"/>
      <c r="F1111" s="102"/>
      <c r="G1111" s="102"/>
      <c r="H1111" s="41"/>
      <c r="I1111" s="42"/>
      <c r="J1111" s="42"/>
      <c r="K1111" s="42"/>
      <c r="L1111" s="45"/>
      <c r="M1111" s="42"/>
      <c r="N1111" s="49"/>
      <c r="O1111" s="42"/>
      <c r="P1111" s="50">
        <v>4647.6214999999993</v>
      </c>
      <c r="Q1111" s="51"/>
      <c r="R1111" s="51"/>
      <c r="S1111"/>
      <c r="T1111">
        <f>T1258</f>
        <v>0</v>
      </c>
      <c r="U1111" s="50">
        <v>4041.41</v>
      </c>
      <c r="V1111"/>
      <c r="W1111" s="42"/>
      <c r="X1111"/>
      <c r="Y1111"/>
      <c r="Z1111"/>
      <c r="AA1111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38"/>
      <c r="AW1111" s="38"/>
      <c r="AX1111" s="38"/>
      <c r="AY1111" s="38" t="s">
        <v>56</v>
      </c>
      <c r="AZ1111" s="6"/>
      <c r="BA1111" s="38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</row>
    <row r="1112" spans="1:63" s="19" customFormat="1" ht="15" x14ac:dyDescent="0.25">
      <c r="A1112" s="52"/>
      <c r="B1112" s="53"/>
      <c r="C1112" s="104" t="s">
        <v>57</v>
      </c>
      <c r="D1112" s="104"/>
      <c r="E1112" s="104"/>
      <c r="F1112" s="104"/>
      <c r="G1112" s="104"/>
      <c r="H1112" s="54"/>
      <c r="I1112" s="55"/>
      <c r="J1112" s="55"/>
      <c r="K1112" s="55"/>
      <c r="L1112" s="56"/>
      <c r="M1112" s="55"/>
      <c r="N1112" s="56"/>
      <c r="O1112" s="55"/>
      <c r="P1112" s="77">
        <v>2636.3979999999997</v>
      </c>
      <c r="Q1112"/>
      <c r="R1112"/>
      <c r="S1112"/>
      <c r="T1112">
        <f>T1258</f>
        <v>0</v>
      </c>
      <c r="U1112" s="57">
        <v>2292.52</v>
      </c>
      <c r="V1112"/>
      <c r="W1112" s="55"/>
      <c r="X1112"/>
      <c r="Y1112"/>
      <c r="Z1112"/>
      <c r="AA1112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38"/>
      <c r="AW1112" s="38"/>
      <c r="AX1112" s="38"/>
      <c r="AY1112" s="38"/>
      <c r="AZ1112" s="6" t="s">
        <v>57</v>
      </c>
      <c r="BA1112" s="38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</row>
    <row r="1113" spans="1:63" s="19" customFormat="1" ht="15" x14ac:dyDescent="0.25">
      <c r="A1113" s="52"/>
      <c r="B1113" s="53" t="s">
        <v>98</v>
      </c>
      <c r="C1113" s="104" t="s">
        <v>99</v>
      </c>
      <c r="D1113" s="104"/>
      <c r="E1113" s="104"/>
      <c r="F1113" s="104"/>
      <c r="G1113" s="104"/>
      <c r="H1113" s="54" t="s">
        <v>60</v>
      </c>
      <c r="I1113" s="58">
        <v>108</v>
      </c>
      <c r="J1113" s="55"/>
      <c r="K1113" s="58">
        <v>108</v>
      </c>
      <c r="L1113" s="56"/>
      <c r="M1113" s="55"/>
      <c r="N1113" s="56"/>
      <c r="O1113" s="55"/>
      <c r="P1113" s="77">
        <v>2847.308</v>
      </c>
      <c r="Q1113"/>
      <c r="R1113"/>
      <c r="S1113"/>
      <c r="T1113">
        <f>T1258</f>
        <v>0</v>
      </c>
      <c r="U1113" s="57">
        <v>2475.92</v>
      </c>
      <c r="V1113"/>
      <c r="W1113" s="58">
        <v>108</v>
      </c>
      <c r="X1113"/>
      <c r="Y1113"/>
      <c r="Z1113"/>
      <c r="AA1113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38"/>
      <c r="AW1113" s="38"/>
      <c r="AX1113" s="38"/>
      <c r="AY1113" s="38"/>
      <c r="AZ1113" s="6" t="s">
        <v>99</v>
      </c>
      <c r="BA1113" s="38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</row>
    <row r="1114" spans="1:63" s="19" customFormat="1" ht="15" x14ac:dyDescent="0.25">
      <c r="A1114" s="52"/>
      <c r="B1114" s="53" t="s">
        <v>100</v>
      </c>
      <c r="C1114" s="104" t="s">
        <v>101</v>
      </c>
      <c r="D1114" s="104"/>
      <c r="E1114" s="104"/>
      <c r="F1114" s="104"/>
      <c r="G1114" s="104"/>
      <c r="H1114" s="54" t="s">
        <v>60</v>
      </c>
      <c r="I1114" s="58">
        <v>55</v>
      </c>
      <c r="J1114" s="55"/>
      <c r="K1114" s="58">
        <v>55</v>
      </c>
      <c r="L1114" s="56"/>
      <c r="M1114" s="55"/>
      <c r="N1114" s="56"/>
      <c r="O1114" s="55"/>
      <c r="P1114" s="77">
        <v>1450.0235</v>
      </c>
      <c r="Q1114"/>
      <c r="R1114"/>
      <c r="S1114"/>
      <c r="T1114">
        <f>T1258</f>
        <v>0</v>
      </c>
      <c r="U1114" s="57">
        <v>1260.8900000000001</v>
      </c>
      <c r="V1114"/>
      <c r="W1114" s="58">
        <v>55</v>
      </c>
      <c r="X1114"/>
      <c r="Y1114"/>
      <c r="Z1114"/>
      <c r="AA1114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38"/>
      <c r="AW1114" s="38"/>
      <c r="AX1114" s="38"/>
      <c r="AY1114" s="38"/>
      <c r="AZ1114" s="6" t="s">
        <v>101</v>
      </c>
      <c r="BA1114" s="38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</row>
    <row r="1115" spans="1:63" s="19" customFormat="1" ht="15" x14ac:dyDescent="0.25">
      <c r="A1115" s="59"/>
      <c r="B1115" s="98"/>
      <c r="C1115" s="102" t="s">
        <v>63</v>
      </c>
      <c r="D1115" s="102"/>
      <c r="E1115" s="102"/>
      <c r="F1115" s="102"/>
      <c r="G1115" s="102"/>
      <c r="H1115" s="41"/>
      <c r="I1115" s="42"/>
      <c r="J1115" s="42"/>
      <c r="K1115" s="42"/>
      <c r="L1115" s="45"/>
      <c r="M1115" s="42"/>
      <c r="N1115" s="49">
        <v>263489.84000000003</v>
      </c>
      <c r="O1115" s="42"/>
      <c r="P1115" s="50">
        <v>7696.5381504065026</v>
      </c>
      <c r="Q1115"/>
      <c r="R1115"/>
      <c r="S1115"/>
      <c r="T1115">
        <f>T1258</f>
        <v>0</v>
      </c>
      <c r="U1115" s="50">
        <f>7778.22*(K1110/W1110)</f>
        <v>4584.7231707317069</v>
      </c>
      <c r="V1115"/>
      <c r="W1115" s="42"/>
      <c r="X1115"/>
      <c r="Y1115"/>
      <c r="Z1115"/>
      <c r="AA1115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38"/>
      <c r="AW1115" s="38"/>
      <c r="AX1115" s="38"/>
      <c r="AY1115" s="38"/>
      <c r="AZ1115" s="6"/>
      <c r="BA1115" s="38" t="s">
        <v>63</v>
      </c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</row>
    <row r="1116" spans="1:63" s="19" customFormat="1" ht="45.75" x14ac:dyDescent="0.25">
      <c r="A1116" s="39" t="s">
        <v>794</v>
      </c>
      <c r="B1116" s="97" t="s">
        <v>157</v>
      </c>
      <c r="C1116" s="103" t="s">
        <v>158</v>
      </c>
      <c r="D1116" s="103"/>
      <c r="E1116" s="103"/>
      <c r="F1116" s="103"/>
      <c r="G1116" s="103"/>
      <c r="H1116" s="41" t="s">
        <v>105</v>
      </c>
      <c r="I1116" s="42">
        <v>0.17399999999999999</v>
      </c>
      <c r="J1116" s="43">
        <v>1</v>
      </c>
      <c r="K1116" s="66">
        <v>0.17399999999999999</v>
      </c>
      <c r="L1116" s="49">
        <v>8723.2999999999993</v>
      </c>
      <c r="M1116" s="62">
        <v>1.17</v>
      </c>
      <c r="N1116" s="49">
        <v>10206.26</v>
      </c>
      <c r="O1116" s="42"/>
      <c r="P1116" s="50">
        <v>35774.98312195122</v>
      </c>
      <c r="Q1116"/>
      <c r="R1116"/>
      <c r="S1116"/>
      <c r="T1116">
        <f>T1258</f>
        <v>0</v>
      </c>
      <c r="U1116" s="50">
        <f>U1117</f>
        <v>2131.0671219512196</v>
      </c>
      <c r="V1116"/>
      <c r="W1116" s="66">
        <v>2.952</v>
      </c>
      <c r="X1116"/>
      <c r="Y1116"/>
      <c r="Z1116"/>
      <c r="AA111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38"/>
      <c r="AW1116" s="38"/>
      <c r="AX1116" s="38" t="s">
        <v>158</v>
      </c>
      <c r="AY1116" s="38"/>
      <c r="AZ1116" s="6"/>
      <c r="BA1116" s="38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</row>
    <row r="1117" spans="1:63" s="19" customFormat="1" ht="15" x14ac:dyDescent="0.25">
      <c r="A1117" s="59"/>
      <c r="B1117" s="98"/>
      <c r="C1117" s="102" t="s">
        <v>63</v>
      </c>
      <c r="D1117" s="102"/>
      <c r="E1117" s="102"/>
      <c r="F1117" s="102"/>
      <c r="G1117" s="102"/>
      <c r="H1117" s="41"/>
      <c r="I1117" s="42"/>
      <c r="J1117" s="42"/>
      <c r="K1117" s="42"/>
      <c r="L1117" s="45"/>
      <c r="M1117" s="42"/>
      <c r="N1117" s="45"/>
      <c r="O1117" s="42"/>
      <c r="P1117" s="50">
        <v>35774.98312195122</v>
      </c>
      <c r="Q1117"/>
      <c r="R1117"/>
      <c r="S1117"/>
      <c r="T1117">
        <f>T1258</f>
        <v>0</v>
      </c>
      <c r="U1117" s="50">
        <f>1.2*30128.88*(K1116/W1116)</f>
        <v>2131.0671219512196</v>
      </c>
      <c r="V1117"/>
      <c r="X1117"/>
      <c r="Y1117"/>
      <c r="Z1117"/>
      <c r="AA1117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38"/>
      <c r="AW1117" s="38"/>
      <c r="AX1117" s="38"/>
      <c r="AY1117" s="38"/>
      <c r="AZ1117" s="6"/>
      <c r="BA1117" s="38" t="s">
        <v>63</v>
      </c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</row>
    <row r="1118" spans="1:63" s="19" customFormat="1" ht="15" x14ac:dyDescent="0.25">
      <c r="A1118" s="107" t="s">
        <v>159</v>
      </c>
      <c r="B1118" s="108"/>
      <c r="C1118" s="108"/>
      <c r="D1118" s="108"/>
      <c r="E1118" s="108"/>
      <c r="F1118" s="108"/>
      <c r="G1118" s="108"/>
      <c r="H1118" s="108"/>
      <c r="I1118" s="108"/>
      <c r="J1118" s="108"/>
      <c r="K1118" s="108"/>
      <c r="L1118" s="108"/>
      <c r="M1118" s="108"/>
      <c r="N1118" s="108"/>
      <c r="O1118" s="108"/>
      <c r="P1118" s="109"/>
      <c r="Q1118"/>
      <c r="R1118"/>
      <c r="S1118"/>
      <c r="T1118"/>
      <c r="U1118"/>
      <c r="V1118"/>
      <c r="W1118"/>
      <c r="X1118"/>
      <c r="Y1118"/>
      <c r="Z1118"/>
      <c r="AA1118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38"/>
      <c r="AW1118" s="38" t="s">
        <v>159</v>
      </c>
      <c r="AX1118" s="38"/>
      <c r="AY1118" s="38"/>
      <c r="AZ1118" s="6"/>
      <c r="BA1118" s="38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</row>
    <row r="1119" spans="1:63" s="19" customFormat="1" ht="15" x14ac:dyDescent="0.25">
      <c r="A1119" s="39" t="s">
        <v>795</v>
      </c>
      <c r="B1119" s="97" t="s">
        <v>161</v>
      </c>
      <c r="C1119" s="103" t="s">
        <v>162</v>
      </c>
      <c r="D1119" s="103"/>
      <c r="E1119" s="103"/>
      <c r="F1119" s="103"/>
      <c r="G1119" s="103"/>
      <c r="H1119" s="41" t="s">
        <v>55</v>
      </c>
      <c r="I1119" s="42">
        <v>0.14899999999999999</v>
      </c>
      <c r="J1119" s="43">
        <v>1</v>
      </c>
      <c r="K1119" s="44">
        <v>0.14899999999999999</v>
      </c>
      <c r="L1119" s="45"/>
      <c r="M1119" s="42"/>
      <c r="N1119" s="45"/>
      <c r="O1119" s="42"/>
      <c r="P1119" s="46"/>
      <c r="Q1119"/>
      <c r="R1119"/>
      <c r="S1119"/>
      <c r="T1119"/>
      <c r="U1119"/>
      <c r="V1119"/>
      <c r="W1119"/>
      <c r="X1119"/>
      <c r="Y1119"/>
      <c r="Z1119"/>
      <c r="AA1119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38"/>
      <c r="AW1119" s="38"/>
      <c r="AX1119" s="38" t="s">
        <v>162</v>
      </c>
      <c r="AY1119" s="38"/>
      <c r="AZ1119" s="6"/>
      <c r="BA1119" s="38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</row>
    <row r="1120" spans="1:63" s="19" customFormat="1" ht="15" x14ac:dyDescent="0.25">
      <c r="A1120" s="47"/>
      <c r="B1120" s="48"/>
      <c r="C1120" s="102" t="s">
        <v>56</v>
      </c>
      <c r="D1120" s="102"/>
      <c r="E1120" s="102"/>
      <c r="F1120" s="102"/>
      <c r="G1120" s="102"/>
      <c r="H1120" s="41"/>
      <c r="I1120" s="42"/>
      <c r="J1120" s="42"/>
      <c r="K1120" s="42"/>
      <c r="L1120" s="45"/>
      <c r="M1120" s="42"/>
      <c r="N1120" s="49"/>
      <c r="O1120" s="42"/>
      <c r="P1120" s="50">
        <v>3882.768</v>
      </c>
      <c r="Q1120" s="51"/>
      <c r="R1120" s="51"/>
      <c r="S1120"/>
      <c r="T1120">
        <f>T1258</f>
        <v>0</v>
      </c>
      <c r="U1120" s="50">
        <v>3376.32</v>
      </c>
      <c r="V1120"/>
      <c r="W1120" s="44">
        <v>0.182</v>
      </c>
      <c r="X1120"/>
      <c r="Y1120"/>
      <c r="Z1120"/>
      <c r="AA1120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38"/>
      <c r="AW1120" s="38"/>
      <c r="AX1120" s="38"/>
      <c r="AY1120" s="38" t="s">
        <v>56</v>
      </c>
      <c r="AZ1120" s="6"/>
      <c r="BA1120" s="38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</row>
    <row r="1121" spans="1:63" s="19" customFormat="1" ht="15" x14ac:dyDescent="0.25">
      <c r="A1121" s="52"/>
      <c r="B1121" s="53"/>
      <c r="C1121" s="104" t="s">
        <v>57</v>
      </c>
      <c r="D1121" s="104"/>
      <c r="E1121" s="104"/>
      <c r="F1121" s="104"/>
      <c r="G1121" s="104"/>
      <c r="H1121" s="54"/>
      <c r="I1121" s="55"/>
      <c r="J1121" s="55"/>
      <c r="K1121" s="55"/>
      <c r="L1121" s="56"/>
      <c r="M1121" s="55"/>
      <c r="N1121" s="56"/>
      <c r="O1121" s="55"/>
      <c r="P1121" s="77">
        <v>3877.7194999999997</v>
      </c>
      <c r="Q1121"/>
      <c r="R1121"/>
      <c r="S1121"/>
      <c r="T1121">
        <f>T1258</f>
        <v>0</v>
      </c>
      <c r="U1121" s="57">
        <v>3371.93</v>
      </c>
      <c r="V1121"/>
      <c r="W1121" s="42"/>
      <c r="X1121"/>
      <c r="Y1121"/>
      <c r="Z1121"/>
      <c r="AA1121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38"/>
      <c r="AW1121" s="38"/>
      <c r="AX1121" s="38"/>
      <c r="AY1121" s="38"/>
      <c r="AZ1121" s="6" t="s">
        <v>57</v>
      </c>
      <c r="BA1121" s="38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</row>
    <row r="1122" spans="1:63" s="19" customFormat="1" ht="15" x14ac:dyDescent="0.25">
      <c r="A1122" s="52"/>
      <c r="B1122" s="53" t="s">
        <v>163</v>
      </c>
      <c r="C1122" s="104" t="s">
        <v>164</v>
      </c>
      <c r="D1122" s="104"/>
      <c r="E1122" s="104"/>
      <c r="F1122" s="104"/>
      <c r="G1122" s="104"/>
      <c r="H1122" s="54" t="s">
        <v>60</v>
      </c>
      <c r="I1122" s="58">
        <v>89</v>
      </c>
      <c r="J1122" s="55"/>
      <c r="K1122" s="58">
        <v>89</v>
      </c>
      <c r="L1122" s="56"/>
      <c r="M1122" s="55"/>
      <c r="N1122" s="56"/>
      <c r="O1122" s="55"/>
      <c r="P1122" s="77">
        <v>3451.1729999999998</v>
      </c>
      <c r="Q1122"/>
      <c r="R1122"/>
      <c r="S1122"/>
      <c r="T1122">
        <f>T1258</f>
        <v>0</v>
      </c>
      <c r="U1122" s="57">
        <v>3001.02</v>
      </c>
      <c r="V1122"/>
      <c r="W1122" s="55"/>
      <c r="X1122"/>
      <c r="Y1122"/>
      <c r="Z1122"/>
      <c r="AA1122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38"/>
      <c r="AW1122" s="38"/>
      <c r="AX1122" s="38"/>
      <c r="AY1122" s="38"/>
      <c r="AZ1122" s="6" t="s">
        <v>164</v>
      </c>
      <c r="BA1122" s="38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</row>
    <row r="1123" spans="1:63" s="19" customFormat="1" ht="15" x14ac:dyDescent="0.25">
      <c r="A1123" s="52"/>
      <c r="B1123" s="53" t="s">
        <v>165</v>
      </c>
      <c r="C1123" s="104" t="s">
        <v>166</v>
      </c>
      <c r="D1123" s="104"/>
      <c r="E1123" s="104"/>
      <c r="F1123" s="104"/>
      <c r="G1123" s="104"/>
      <c r="H1123" s="54" t="s">
        <v>60</v>
      </c>
      <c r="I1123" s="58">
        <v>49</v>
      </c>
      <c r="J1123" s="55"/>
      <c r="K1123" s="58">
        <v>49</v>
      </c>
      <c r="L1123" s="56"/>
      <c r="M1123" s="55"/>
      <c r="N1123" s="56"/>
      <c r="O1123" s="55"/>
      <c r="P1123" s="77">
        <v>1900.0874999999999</v>
      </c>
      <c r="Q1123"/>
      <c r="R1123"/>
      <c r="S1123"/>
      <c r="T1123">
        <f>T1258</f>
        <v>0</v>
      </c>
      <c r="U1123" s="57">
        <v>1652.25</v>
      </c>
      <c r="V1123"/>
      <c r="W1123" s="58">
        <v>89</v>
      </c>
      <c r="X1123"/>
      <c r="Y1123"/>
      <c r="Z1123"/>
      <c r="AA1123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38"/>
      <c r="AW1123" s="38"/>
      <c r="AX1123" s="38"/>
      <c r="AY1123" s="38"/>
      <c r="AZ1123" s="6" t="s">
        <v>166</v>
      </c>
      <c r="BA1123" s="38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</row>
    <row r="1124" spans="1:63" s="19" customFormat="1" ht="15" x14ac:dyDescent="0.25">
      <c r="A1124" s="59"/>
      <c r="B1124" s="98"/>
      <c r="C1124" s="102" t="s">
        <v>63</v>
      </c>
      <c r="D1124" s="102"/>
      <c r="E1124" s="102"/>
      <c r="F1124" s="102"/>
      <c r="G1124" s="102"/>
      <c r="H1124" s="41"/>
      <c r="I1124" s="42"/>
      <c r="J1124" s="42"/>
      <c r="K1124" s="42"/>
      <c r="L1124" s="45"/>
      <c r="M1124" s="42"/>
      <c r="N1124" s="49">
        <v>68453.45</v>
      </c>
      <c r="O1124" s="42"/>
      <c r="P1124" s="50">
        <v>9234.0285000000003</v>
      </c>
      <c r="Q1124"/>
      <c r="R1124"/>
      <c r="S1124"/>
      <c r="T1124">
        <f>T1258</f>
        <v>0</v>
      </c>
      <c r="U1124" s="50">
        <f>8029.59*(K1119/W1120)</f>
        <v>6573.67532967033</v>
      </c>
      <c r="V1124"/>
      <c r="W1124" s="58">
        <v>49</v>
      </c>
      <c r="X1124"/>
      <c r="Y1124"/>
      <c r="Z1124"/>
      <c r="AA1124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38"/>
      <c r="AW1124" s="38"/>
      <c r="AX1124" s="38"/>
      <c r="AY1124" s="38"/>
      <c r="AZ1124" s="6"/>
      <c r="BA1124" s="38" t="s">
        <v>63</v>
      </c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</row>
    <row r="1125" spans="1:63" s="19" customFormat="1" ht="15" x14ac:dyDescent="0.25">
      <c r="A1125" s="39" t="s">
        <v>796</v>
      </c>
      <c r="B1125" s="97" t="s">
        <v>168</v>
      </c>
      <c r="C1125" s="103" t="s">
        <v>169</v>
      </c>
      <c r="D1125" s="103"/>
      <c r="E1125" s="103"/>
      <c r="F1125" s="103"/>
      <c r="G1125" s="103"/>
      <c r="H1125" s="41" t="s">
        <v>170</v>
      </c>
      <c r="I1125" s="42">
        <v>0.59599999999999997</v>
      </c>
      <c r="J1125" s="43">
        <v>1</v>
      </c>
      <c r="K1125" s="66">
        <v>0.59599999999999997</v>
      </c>
      <c r="L1125" s="45"/>
      <c r="M1125" s="42"/>
      <c r="N1125" s="45"/>
      <c r="O1125" s="42"/>
      <c r="P1125" s="50"/>
      <c r="Q1125"/>
      <c r="R1125"/>
      <c r="S1125"/>
      <c r="T1125"/>
      <c r="U1125" s="46"/>
      <c r="V1125"/>
      <c r="W1125" s="42"/>
      <c r="X1125"/>
      <c r="Y1125"/>
      <c r="Z1125"/>
      <c r="AA1125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38"/>
      <c r="AW1125" s="38"/>
      <c r="AX1125" s="38" t="s">
        <v>169</v>
      </c>
      <c r="AY1125" s="38"/>
      <c r="AZ1125" s="6"/>
      <c r="BA1125" s="38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</row>
    <row r="1126" spans="1:63" s="19" customFormat="1" ht="15" x14ac:dyDescent="0.25">
      <c r="A1126" s="47"/>
      <c r="B1126" s="48"/>
      <c r="C1126" s="102" t="s">
        <v>56</v>
      </c>
      <c r="D1126" s="102"/>
      <c r="E1126" s="102"/>
      <c r="F1126" s="102"/>
      <c r="G1126" s="102"/>
      <c r="H1126" s="41"/>
      <c r="I1126" s="42"/>
      <c r="J1126" s="42"/>
      <c r="K1126" s="42"/>
      <c r="L1126" s="45"/>
      <c r="M1126" s="42"/>
      <c r="N1126" s="49"/>
      <c r="O1126" s="42"/>
      <c r="P1126" s="50">
        <v>3946.6964999999996</v>
      </c>
      <c r="Q1126" s="51"/>
      <c r="R1126" s="51"/>
      <c r="S1126"/>
      <c r="T1126">
        <f>T1258</f>
        <v>0</v>
      </c>
      <c r="U1126" s="50">
        <v>3431.91</v>
      </c>
      <c r="V1126"/>
      <c r="W1126" s="62">
        <v>0.621</v>
      </c>
      <c r="X1126"/>
      <c r="Y1126"/>
      <c r="Z1126"/>
      <c r="AA112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38"/>
      <c r="AW1126" s="38"/>
      <c r="AX1126" s="38"/>
      <c r="AY1126" s="38" t="s">
        <v>56</v>
      </c>
      <c r="AZ1126" s="6"/>
      <c r="BA1126" s="38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</row>
    <row r="1127" spans="1:63" s="19" customFormat="1" ht="15" x14ac:dyDescent="0.25">
      <c r="A1127" s="52"/>
      <c r="B1127" s="53"/>
      <c r="C1127" s="104" t="s">
        <v>57</v>
      </c>
      <c r="D1127" s="104"/>
      <c r="E1127" s="104"/>
      <c r="F1127" s="104"/>
      <c r="G1127" s="104"/>
      <c r="H1127" s="54"/>
      <c r="I1127" s="55"/>
      <c r="J1127" s="55"/>
      <c r="K1127" s="55"/>
      <c r="L1127" s="56"/>
      <c r="M1127" s="55"/>
      <c r="N1127" s="56"/>
      <c r="O1127" s="55"/>
      <c r="P1127" s="77">
        <v>3555.4089999999997</v>
      </c>
      <c r="Q1127"/>
      <c r="R1127"/>
      <c r="S1127"/>
      <c r="T1127">
        <f>T1258</f>
        <v>0</v>
      </c>
      <c r="U1127" s="57">
        <v>3091.66</v>
      </c>
      <c r="V1127"/>
      <c r="W1127" s="42"/>
      <c r="X1127"/>
      <c r="Y1127"/>
      <c r="Z1127"/>
      <c r="AA1127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38"/>
      <c r="AW1127" s="38"/>
      <c r="AX1127" s="38"/>
      <c r="AY1127" s="38"/>
      <c r="AZ1127" s="6" t="s">
        <v>57</v>
      </c>
      <c r="BA1127" s="38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</row>
    <row r="1128" spans="1:63" s="19" customFormat="1" ht="34.5" x14ac:dyDescent="0.25">
      <c r="A1128" s="52"/>
      <c r="B1128" s="53" t="s">
        <v>149</v>
      </c>
      <c r="C1128" s="104" t="s">
        <v>150</v>
      </c>
      <c r="D1128" s="104"/>
      <c r="E1128" s="104"/>
      <c r="F1128" s="104"/>
      <c r="G1128" s="104"/>
      <c r="H1128" s="54" t="s">
        <v>60</v>
      </c>
      <c r="I1128" s="58">
        <v>91</v>
      </c>
      <c r="J1128" s="55"/>
      <c r="K1128" s="58">
        <v>91</v>
      </c>
      <c r="L1128" s="56"/>
      <c r="M1128" s="55"/>
      <c r="N1128" s="56"/>
      <c r="O1128" s="55"/>
      <c r="P1128" s="77">
        <v>3235.4214999999995</v>
      </c>
      <c r="Q1128"/>
      <c r="R1128"/>
      <c r="S1128"/>
      <c r="T1128">
        <f>T1258</f>
        <v>0</v>
      </c>
      <c r="U1128" s="57">
        <v>2813.41</v>
      </c>
      <c r="V1128"/>
      <c r="W1128" s="55"/>
      <c r="X1128"/>
      <c r="Y1128"/>
      <c r="Z1128"/>
      <c r="AA1128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38"/>
      <c r="AW1128" s="38"/>
      <c r="AX1128" s="38"/>
      <c r="AY1128" s="38"/>
      <c r="AZ1128" s="6" t="s">
        <v>150</v>
      </c>
      <c r="BA1128" s="38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</row>
    <row r="1129" spans="1:63" s="19" customFormat="1" ht="34.5" x14ac:dyDescent="0.25">
      <c r="A1129" s="52"/>
      <c r="B1129" s="53" t="s">
        <v>151</v>
      </c>
      <c r="C1129" s="104" t="s">
        <v>152</v>
      </c>
      <c r="D1129" s="104"/>
      <c r="E1129" s="104"/>
      <c r="F1129" s="104"/>
      <c r="G1129" s="104"/>
      <c r="H1129" s="54" t="s">
        <v>60</v>
      </c>
      <c r="I1129" s="58">
        <v>52</v>
      </c>
      <c r="J1129" s="55"/>
      <c r="K1129" s="58">
        <v>52</v>
      </c>
      <c r="L1129" s="56"/>
      <c r="M1129" s="55"/>
      <c r="N1129" s="56"/>
      <c r="O1129" s="55"/>
      <c r="P1129" s="77">
        <v>1848.809</v>
      </c>
      <c r="Q1129"/>
      <c r="R1129"/>
      <c r="S1129"/>
      <c r="T1129">
        <f>T1258</f>
        <v>0</v>
      </c>
      <c r="U1129" s="57">
        <v>1607.66</v>
      </c>
      <c r="V1129"/>
      <c r="W1129" s="58">
        <v>91</v>
      </c>
      <c r="X1129"/>
      <c r="Y1129"/>
      <c r="Z1129"/>
      <c r="AA1129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38"/>
      <c r="AW1129" s="38"/>
      <c r="AX1129" s="38"/>
      <c r="AY1129" s="38"/>
      <c r="AZ1129" s="6" t="s">
        <v>152</v>
      </c>
      <c r="BA1129" s="38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</row>
    <row r="1130" spans="1:63" s="19" customFormat="1" ht="15" x14ac:dyDescent="0.25">
      <c r="A1130" s="59"/>
      <c r="B1130" s="98"/>
      <c r="C1130" s="102" t="s">
        <v>63</v>
      </c>
      <c r="D1130" s="102"/>
      <c r="E1130" s="102"/>
      <c r="F1130" s="102"/>
      <c r="G1130" s="102"/>
      <c r="H1130" s="41"/>
      <c r="I1130" s="42"/>
      <c r="J1130" s="42"/>
      <c r="K1130" s="42"/>
      <c r="L1130" s="45"/>
      <c r="M1130" s="42"/>
      <c r="N1130" s="49">
        <v>8013.24</v>
      </c>
      <c r="O1130" s="42"/>
      <c r="P1130" s="50">
        <v>9030.9269999999997</v>
      </c>
      <c r="Q1130"/>
      <c r="R1130"/>
      <c r="S1130"/>
      <c r="T1130">
        <f>T1258</f>
        <v>0</v>
      </c>
      <c r="U1130" s="50">
        <f>7852.98*(K1125/W1126)</f>
        <v>7536.837487922704</v>
      </c>
      <c r="V1130"/>
      <c r="W1130" s="58">
        <v>52</v>
      </c>
      <c r="X1130"/>
      <c r="Y1130"/>
      <c r="Z1130"/>
      <c r="AA1130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38"/>
      <c r="AW1130" s="38"/>
      <c r="AX1130" s="38"/>
      <c r="AY1130" s="38"/>
      <c r="AZ1130" s="6"/>
      <c r="BA1130" s="38" t="s">
        <v>63</v>
      </c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</row>
    <row r="1131" spans="1:63" s="19" customFormat="1" ht="23.25" x14ac:dyDescent="0.25">
      <c r="A1131" s="39" t="s">
        <v>797</v>
      </c>
      <c r="B1131" s="97" t="s">
        <v>172</v>
      </c>
      <c r="C1131" s="103" t="s">
        <v>173</v>
      </c>
      <c r="D1131" s="103"/>
      <c r="E1131" s="103"/>
      <c r="F1131" s="103"/>
      <c r="G1131" s="103"/>
      <c r="H1131" s="41" t="s">
        <v>170</v>
      </c>
      <c r="I1131" s="42">
        <v>0.28000000000000003</v>
      </c>
      <c r="J1131" s="43">
        <v>1</v>
      </c>
      <c r="K1131" s="62">
        <v>0.28000000000000003</v>
      </c>
      <c r="L1131" s="45"/>
      <c r="M1131" s="42"/>
      <c r="N1131" s="45"/>
      <c r="O1131" s="42"/>
      <c r="P1131" s="50"/>
      <c r="Q1131"/>
      <c r="R1131"/>
      <c r="S1131"/>
      <c r="T1131"/>
      <c r="U1131" s="46"/>
      <c r="V1131"/>
      <c r="W1131" s="42"/>
      <c r="X1131"/>
      <c r="Y1131"/>
      <c r="Z1131"/>
      <c r="AA1131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38"/>
      <c r="AW1131" s="38"/>
      <c r="AX1131" s="38" t="s">
        <v>173</v>
      </c>
      <c r="AY1131" s="38"/>
      <c r="AZ1131" s="6"/>
      <c r="BA1131" s="38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</row>
    <row r="1132" spans="1:63" s="19" customFormat="1" ht="15" x14ac:dyDescent="0.25">
      <c r="A1132" s="47"/>
      <c r="B1132" s="48"/>
      <c r="C1132" s="102" t="s">
        <v>56</v>
      </c>
      <c r="D1132" s="102"/>
      <c r="E1132" s="102"/>
      <c r="F1132" s="102"/>
      <c r="G1132" s="102"/>
      <c r="H1132" s="41"/>
      <c r="I1132" s="42"/>
      <c r="J1132" s="42"/>
      <c r="K1132" s="42"/>
      <c r="L1132" s="45"/>
      <c r="M1132" s="42"/>
      <c r="N1132" s="49"/>
      <c r="O1132" s="42"/>
      <c r="P1132" s="50">
        <v>2188.0360000000001</v>
      </c>
      <c r="Q1132" s="51"/>
      <c r="R1132" s="51"/>
      <c r="S1132"/>
      <c r="T1132">
        <f>T1258</f>
        <v>0</v>
      </c>
      <c r="U1132" s="50">
        <v>1902.64</v>
      </c>
      <c r="V1132"/>
      <c r="W1132" s="62">
        <v>0.28000000000000003</v>
      </c>
      <c r="X1132"/>
      <c r="Y1132"/>
      <c r="Z1132"/>
      <c r="AA1132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38"/>
      <c r="AW1132" s="38"/>
      <c r="AX1132" s="38"/>
      <c r="AY1132" s="38" t="s">
        <v>56</v>
      </c>
      <c r="AZ1132" s="6"/>
      <c r="BA1132" s="38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</row>
    <row r="1133" spans="1:63" s="19" customFormat="1" ht="15" x14ac:dyDescent="0.25">
      <c r="A1133" s="52"/>
      <c r="B1133" s="53"/>
      <c r="C1133" s="104" t="s">
        <v>57</v>
      </c>
      <c r="D1133" s="104"/>
      <c r="E1133" s="104"/>
      <c r="F1133" s="104"/>
      <c r="G1133" s="104"/>
      <c r="H1133" s="54"/>
      <c r="I1133" s="55"/>
      <c r="J1133" s="55"/>
      <c r="K1133" s="55"/>
      <c r="L1133" s="56"/>
      <c r="M1133" s="55"/>
      <c r="N1133" s="56"/>
      <c r="O1133" s="55"/>
      <c r="P1133" s="77">
        <v>1948.4794999999997</v>
      </c>
      <c r="Q1133"/>
      <c r="R1133"/>
      <c r="S1133"/>
      <c r="T1133">
        <f>T1258</f>
        <v>0</v>
      </c>
      <c r="U1133" s="57">
        <v>1694.33</v>
      </c>
      <c r="V1133"/>
      <c r="W1133" s="42"/>
      <c r="X1133"/>
      <c r="Y1133"/>
      <c r="Z1133"/>
      <c r="AA1133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38"/>
      <c r="AW1133" s="38"/>
      <c r="AX1133" s="38"/>
      <c r="AY1133" s="38"/>
      <c r="AZ1133" s="6" t="s">
        <v>57</v>
      </c>
      <c r="BA1133" s="38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</row>
    <row r="1134" spans="1:63" s="19" customFormat="1" ht="15" x14ac:dyDescent="0.25">
      <c r="A1134" s="52"/>
      <c r="B1134" s="53" t="s">
        <v>174</v>
      </c>
      <c r="C1134" s="104" t="s">
        <v>175</v>
      </c>
      <c r="D1134" s="104"/>
      <c r="E1134" s="104"/>
      <c r="F1134" s="104"/>
      <c r="G1134" s="104"/>
      <c r="H1134" s="54" t="s">
        <v>60</v>
      </c>
      <c r="I1134" s="58">
        <v>110</v>
      </c>
      <c r="J1134" s="55"/>
      <c r="K1134" s="58">
        <v>110</v>
      </c>
      <c r="L1134" s="56"/>
      <c r="M1134" s="55"/>
      <c r="N1134" s="56"/>
      <c r="O1134" s="55"/>
      <c r="P1134" s="77">
        <v>2143.3239999999996</v>
      </c>
      <c r="Q1134"/>
      <c r="R1134"/>
      <c r="S1134"/>
      <c r="T1134">
        <f>T1258</f>
        <v>0</v>
      </c>
      <c r="U1134" s="57">
        <v>1863.76</v>
      </c>
      <c r="V1134"/>
      <c r="W1134" s="55"/>
      <c r="X1134"/>
      <c r="Y1134"/>
      <c r="Z1134"/>
      <c r="AA1134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38"/>
      <c r="AW1134" s="38"/>
      <c r="AX1134" s="38"/>
      <c r="AY1134" s="38"/>
      <c r="AZ1134" s="6" t="s">
        <v>175</v>
      </c>
      <c r="BA1134" s="38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</row>
    <row r="1135" spans="1:63" s="19" customFormat="1" ht="15" x14ac:dyDescent="0.25">
      <c r="A1135" s="52"/>
      <c r="B1135" s="53" t="s">
        <v>176</v>
      </c>
      <c r="C1135" s="104" t="s">
        <v>177</v>
      </c>
      <c r="D1135" s="104"/>
      <c r="E1135" s="104"/>
      <c r="F1135" s="104"/>
      <c r="G1135" s="104"/>
      <c r="H1135" s="54" t="s">
        <v>60</v>
      </c>
      <c r="I1135" s="58">
        <v>69</v>
      </c>
      <c r="J1135" s="55"/>
      <c r="K1135" s="58">
        <v>69</v>
      </c>
      <c r="L1135" s="56"/>
      <c r="M1135" s="55"/>
      <c r="N1135" s="56"/>
      <c r="O1135" s="55"/>
      <c r="P1135" s="77">
        <v>1344.4534999999998</v>
      </c>
      <c r="Q1135"/>
      <c r="R1135"/>
      <c r="S1135"/>
      <c r="T1135">
        <f>T1258</f>
        <v>0</v>
      </c>
      <c r="U1135" s="57">
        <v>1169.0899999999999</v>
      </c>
      <c r="V1135"/>
      <c r="W1135" s="58">
        <v>110</v>
      </c>
      <c r="X1135"/>
      <c r="Y1135"/>
      <c r="Z1135"/>
      <c r="AA1135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38"/>
      <c r="AW1135" s="38"/>
      <c r="AX1135" s="38"/>
      <c r="AY1135" s="38"/>
      <c r="AZ1135" s="6" t="s">
        <v>177</v>
      </c>
      <c r="BA1135" s="38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</row>
    <row r="1136" spans="1:63" s="19" customFormat="1" ht="15" x14ac:dyDescent="0.25">
      <c r="A1136" s="59"/>
      <c r="B1136" s="98"/>
      <c r="C1136" s="102" t="s">
        <v>63</v>
      </c>
      <c r="D1136" s="102"/>
      <c r="E1136" s="102"/>
      <c r="F1136" s="102"/>
      <c r="G1136" s="102"/>
      <c r="H1136" s="41"/>
      <c r="I1136" s="42"/>
      <c r="J1136" s="42"/>
      <c r="K1136" s="42"/>
      <c r="L1136" s="45"/>
      <c r="M1136" s="42"/>
      <c r="N1136" s="49">
        <v>5036.21</v>
      </c>
      <c r="O1136" s="42"/>
      <c r="P1136" s="50">
        <v>5675.8134999999993</v>
      </c>
      <c r="Q1136"/>
      <c r="R1136"/>
      <c r="S1136"/>
      <c r="T1136">
        <f>T1258</f>
        <v>0</v>
      </c>
      <c r="U1136" s="50">
        <f>4935.49*(K1131/W1132)</f>
        <v>4935.49</v>
      </c>
      <c r="V1136"/>
      <c r="W1136" s="58">
        <v>69</v>
      </c>
      <c r="X1136"/>
      <c r="Y1136"/>
      <c r="Z1136"/>
      <c r="AA113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38"/>
      <c r="AW1136" s="38"/>
      <c r="AX1136" s="38"/>
      <c r="AY1136" s="38"/>
      <c r="AZ1136" s="6"/>
      <c r="BA1136" s="38" t="s">
        <v>63</v>
      </c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</row>
    <row r="1137" spans="1:63" s="19" customFormat="1" ht="23.25" x14ac:dyDescent="0.25">
      <c r="A1137" s="39" t="s">
        <v>798</v>
      </c>
      <c r="B1137" s="97" t="s">
        <v>179</v>
      </c>
      <c r="C1137" s="103" t="s">
        <v>180</v>
      </c>
      <c r="D1137" s="103"/>
      <c r="E1137" s="103"/>
      <c r="F1137" s="103"/>
      <c r="G1137" s="103"/>
      <c r="H1137" s="41" t="s">
        <v>170</v>
      </c>
      <c r="I1137" s="42">
        <v>0.2898</v>
      </c>
      <c r="J1137" s="43">
        <v>1</v>
      </c>
      <c r="K1137" s="44">
        <v>0.2898</v>
      </c>
      <c r="L1137" s="49">
        <v>5719.62</v>
      </c>
      <c r="M1137" s="62">
        <v>1.25</v>
      </c>
      <c r="N1137" s="49">
        <v>7149.53</v>
      </c>
      <c r="O1137" s="42"/>
      <c r="P1137" s="50">
        <v>8138.09</v>
      </c>
      <c r="Q1137"/>
      <c r="R1137"/>
      <c r="S1137"/>
      <c r="T1137">
        <f>T1258</f>
        <v>0</v>
      </c>
      <c r="U1137" s="50">
        <f>U1138</f>
        <v>7076.6</v>
      </c>
      <c r="V1137"/>
      <c r="W1137" s="42"/>
      <c r="X1137"/>
      <c r="Y1137"/>
      <c r="Z1137"/>
      <c r="AA1137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38"/>
      <c r="AW1137" s="38"/>
      <c r="AX1137" s="38" t="s">
        <v>180</v>
      </c>
      <c r="AY1137" s="38"/>
      <c r="AZ1137" s="6"/>
      <c r="BA1137" s="38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</row>
    <row r="1138" spans="1:63" s="19" customFormat="1" ht="15" x14ac:dyDescent="0.25">
      <c r="A1138" s="59"/>
      <c r="B1138" s="98"/>
      <c r="C1138" s="102" t="s">
        <v>63</v>
      </c>
      <c r="D1138" s="102"/>
      <c r="E1138" s="102"/>
      <c r="F1138" s="102"/>
      <c r="G1138" s="102"/>
      <c r="H1138" s="41"/>
      <c r="I1138" s="42"/>
      <c r="J1138" s="42"/>
      <c r="K1138" s="42"/>
      <c r="L1138" s="45"/>
      <c r="M1138" s="42"/>
      <c r="N1138" s="45"/>
      <c r="O1138" s="42"/>
      <c r="P1138" s="50">
        <v>8138.09</v>
      </c>
      <c r="Q1138"/>
      <c r="R1138"/>
      <c r="S1138"/>
      <c r="T1138">
        <f>T1258</f>
        <v>0</v>
      </c>
      <c r="U1138" s="50">
        <f>7076.6*(K1137/W1138)</f>
        <v>7076.6</v>
      </c>
      <c r="V1138"/>
      <c r="W1138" s="44">
        <v>0.2898</v>
      </c>
      <c r="X1138"/>
      <c r="Y1138"/>
      <c r="Z1138"/>
      <c r="AA1138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38"/>
      <c r="AW1138" s="38"/>
      <c r="AX1138" s="38"/>
      <c r="AY1138" s="38"/>
      <c r="AZ1138" s="6"/>
      <c r="BA1138" s="38" t="s">
        <v>63</v>
      </c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</row>
    <row r="1139" spans="1:63" s="19" customFormat="1" ht="23.25" x14ac:dyDescent="0.25">
      <c r="A1139" s="39" t="s">
        <v>799</v>
      </c>
      <c r="B1139" s="97" t="s">
        <v>182</v>
      </c>
      <c r="C1139" s="103" t="s">
        <v>183</v>
      </c>
      <c r="D1139" s="103"/>
      <c r="E1139" s="103"/>
      <c r="F1139" s="103"/>
      <c r="G1139" s="103"/>
      <c r="H1139" s="41" t="s">
        <v>71</v>
      </c>
      <c r="I1139" s="42">
        <v>2.7900600000000001E-2</v>
      </c>
      <c r="J1139" s="43">
        <v>1</v>
      </c>
      <c r="K1139" s="64">
        <v>2.7900600000000001E-2</v>
      </c>
      <c r="L1139" s="49">
        <v>39438.35</v>
      </c>
      <c r="M1139" s="62">
        <v>1.37</v>
      </c>
      <c r="N1139" s="49">
        <v>54030.54</v>
      </c>
      <c r="O1139" s="42"/>
      <c r="P1139" s="50">
        <v>1733.6019999999999</v>
      </c>
      <c r="Q1139"/>
      <c r="R1139"/>
      <c r="S1139"/>
      <c r="T1139">
        <f>T1258</f>
        <v>0</v>
      </c>
      <c r="U1139" s="50">
        <f>U1140</f>
        <v>1507.48</v>
      </c>
      <c r="V1139"/>
      <c r="W1139" s="42"/>
      <c r="X1139"/>
      <c r="Y1139"/>
      <c r="Z1139"/>
      <c r="AA1139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38"/>
      <c r="AW1139" s="38"/>
      <c r="AX1139" s="38" t="s">
        <v>183</v>
      </c>
      <c r="AY1139" s="38"/>
      <c r="AZ1139" s="6"/>
      <c r="BA1139" s="38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</row>
    <row r="1140" spans="1:63" s="19" customFormat="1" ht="15" x14ac:dyDescent="0.25">
      <c r="A1140" s="59"/>
      <c r="B1140" s="98"/>
      <c r="C1140" s="102" t="s">
        <v>63</v>
      </c>
      <c r="D1140" s="102"/>
      <c r="E1140" s="102"/>
      <c r="F1140" s="102"/>
      <c r="G1140" s="102"/>
      <c r="H1140" s="41"/>
      <c r="I1140" s="42"/>
      <c r="J1140" s="42"/>
      <c r="K1140" s="42"/>
      <c r="L1140" s="45"/>
      <c r="M1140" s="42"/>
      <c r="N1140" s="45"/>
      <c r="O1140" s="42"/>
      <c r="P1140" s="50">
        <v>1733.6019999999999</v>
      </c>
      <c r="Q1140"/>
      <c r="R1140"/>
      <c r="S1140"/>
      <c r="T1140">
        <f>T1258</f>
        <v>0</v>
      </c>
      <c r="U1140" s="50">
        <f>1507.48*(K1139/W1140)</f>
        <v>1507.48</v>
      </c>
      <c r="V1140"/>
      <c r="W1140" s="64">
        <v>2.7900600000000001E-2</v>
      </c>
      <c r="X1140"/>
      <c r="Y1140"/>
      <c r="Z1140"/>
      <c r="AA1140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38"/>
      <c r="AW1140" s="38"/>
      <c r="AX1140" s="38"/>
      <c r="AY1140" s="38"/>
      <c r="AZ1140" s="6"/>
      <c r="BA1140" s="38" t="s">
        <v>63</v>
      </c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</row>
    <row r="1141" spans="1:63" s="19" customFormat="1" ht="15" x14ac:dyDescent="0.25">
      <c r="A1141" s="39" t="s">
        <v>800</v>
      </c>
      <c r="B1141" s="97" t="s">
        <v>185</v>
      </c>
      <c r="C1141" s="103" t="s">
        <v>186</v>
      </c>
      <c r="D1141" s="103"/>
      <c r="E1141" s="103"/>
      <c r="F1141" s="103"/>
      <c r="G1141" s="103"/>
      <c r="H1141" s="41" t="s">
        <v>55</v>
      </c>
      <c r="I1141" s="42">
        <v>0.14899999999999999</v>
      </c>
      <c r="J1141" s="43">
        <v>1</v>
      </c>
      <c r="K1141" s="44">
        <v>0.14899999999999999</v>
      </c>
      <c r="L1141" s="45"/>
      <c r="M1141" s="42"/>
      <c r="N1141" s="45"/>
      <c r="O1141" s="42"/>
      <c r="P1141" s="50"/>
      <c r="Q1141"/>
      <c r="R1141"/>
      <c r="S1141"/>
      <c r="T1141"/>
      <c r="U1141" s="46"/>
      <c r="V1141"/>
      <c r="W1141" s="42"/>
      <c r="X1141"/>
      <c r="Y1141"/>
      <c r="Z1141"/>
      <c r="AA1141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38"/>
      <c r="AW1141" s="38"/>
      <c r="AX1141" s="38" t="s">
        <v>186</v>
      </c>
      <c r="AY1141" s="38"/>
      <c r="AZ1141" s="6"/>
      <c r="BA1141" s="38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</row>
    <row r="1142" spans="1:63" s="19" customFormat="1" ht="15" x14ac:dyDescent="0.25">
      <c r="A1142" s="47"/>
      <c r="B1142" s="48"/>
      <c r="C1142" s="102" t="s">
        <v>56</v>
      </c>
      <c r="D1142" s="102"/>
      <c r="E1142" s="102"/>
      <c r="F1142" s="102"/>
      <c r="G1142" s="102"/>
      <c r="H1142" s="41"/>
      <c r="I1142" s="42"/>
      <c r="J1142" s="42"/>
      <c r="K1142" s="42"/>
      <c r="L1142" s="45"/>
      <c r="M1142" s="42"/>
      <c r="N1142" s="49"/>
      <c r="O1142" s="42"/>
      <c r="P1142" s="50">
        <v>1740.1569999999999</v>
      </c>
      <c r="Q1142" s="51"/>
      <c r="R1142" s="51"/>
      <c r="S1142"/>
      <c r="T1142">
        <f>T1258</f>
        <v>0</v>
      </c>
      <c r="U1142" s="50">
        <v>1513.18</v>
      </c>
      <c r="V1142"/>
      <c r="W1142" s="44">
        <v>0.182</v>
      </c>
      <c r="X1142"/>
      <c r="Y1142"/>
      <c r="Z1142"/>
      <c r="AA1142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38"/>
      <c r="AW1142" s="38"/>
      <c r="AX1142" s="38"/>
      <c r="AY1142" s="38" t="s">
        <v>56</v>
      </c>
      <c r="AZ1142" s="6"/>
      <c r="BA1142" s="38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</row>
    <row r="1143" spans="1:63" s="19" customFormat="1" ht="15" x14ac:dyDescent="0.25">
      <c r="A1143" s="52"/>
      <c r="B1143" s="53"/>
      <c r="C1143" s="104" t="s">
        <v>57</v>
      </c>
      <c r="D1143" s="104"/>
      <c r="E1143" s="104"/>
      <c r="F1143" s="104"/>
      <c r="G1143" s="104"/>
      <c r="H1143" s="54"/>
      <c r="I1143" s="55"/>
      <c r="J1143" s="55"/>
      <c r="K1143" s="55"/>
      <c r="L1143" s="56"/>
      <c r="M1143" s="55"/>
      <c r="N1143" s="56"/>
      <c r="O1143" s="55"/>
      <c r="P1143" s="77">
        <v>1709.4749999999999</v>
      </c>
      <c r="Q1143"/>
      <c r="R1143"/>
      <c r="S1143"/>
      <c r="T1143">
        <f>T1258</f>
        <v>0</v>
      </c>
      <c r="U1143" s="57">
        <v>1486.5</v>
      </c>
      <c r="V1143"/>
      <c r="W1143" s="42"/>
      <c r="X1143"/>
      <c r="Y1143"/>
      <c r="Z1143"/>
      <c r="AA1143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38"/>
      <c r="AW1143" s="38"/>
      <c r="AX1143" s="38"/>
      <c r="AY1143" s="38"/>
      <c r="AZ1143" s="6" t="s">
        <v>57</v>
      </c>
      <c r="BA1143" s="38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</row>
    <row r="1144" spans="1:63" s="19" customFormat="1" ht="15" x14ac:dyDescent="0.25">
      <c r="A1144" s="52"/>
      <c r="B1144" s="53" t="s">
        <v>187</v>
      </c>
      <c r="C1144" s="104" t="s">
        <v>188</v>
      </c>
      <c r="D1144" s="104"/>
      <c r="E1144" s="104"/>
      <c r="F1144" s="104"/>
      <c r="G1144" s="104"/>
      <c r="H1144" s="54" t="s">
        <v>60</v>
      </c>
      <c r="I1144" s="58">
        <v>112</v>
      </c>
      <c r="J1144" s="55"/>
      <c r="K1144" s="58">
        <v>112</v>
      </c>
      <c r="L1144" s="56"/>
      <c r="M1144" s="55"/>
      <c r="N1144" s="56"/>
      <c r="O1144" s="55"/>
      <c r="P1144" s="77">
        <v>1914.6120000000001</v>
      </c>
      <c r="Q1144"/>
      <c r="R1144"/>
      <c r="S1144"/>
      <c r="T1144">
        <f>T1258</f>
        <v>0</v>
      </c>
      <c r="U1144" s="57">
        <v>1664.88</v>
      </c>
      <c r="V1144"/>
      <c r="W1144" s="55"/>
      <c r="X1144"/>
      <c r="Y1144"/>
      <c r="Z1144"/>
      <c r="AA1144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38"/>
      <c r="AW1144" s="38"/>
      <c r="AX1144" s="38"/>
      <c r="AY1144" s="38"/>
      <c r="AZ1144" s="6" t="s">
        <v>188</v>
      </c>
      <c r="BA1144" s="38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</row>
    <row r="1145" spans="1:63" s="19" customFormat="1" ht="15" x14ac:dyDescent="0.25">
      <c r="A1145" s="52"/>
      <c r="B1145" s="53" t="s">
        <v>189</v>
      </c>
      <c r="C1145" s="104" t="s">
        <v>190</v>
      </c>
      <c r="D1145" s="104"/>
      <c r="E1145" s="104"/>
      <c r="F1145" s="104"/>
      <c r="G1145" s="104"/>
      <c r="H1145" s="54" t="s">
        <v>60</v>
      </c>
      <c r="I1145" s="58">
        <v>65</v>
      </c>
      <c r="J1145" s="55"/>
      <c r="K1145" s="58">
        <v>65</v>
      </c>
      <c r="L1145" s="56"/>
      <c r="M1145" s="55"/>
      <c r="N1145" s="56"/>
      <c r="O1145" s="55"/>
      <c r="P1145" s="77">
        <v>1111.1644999999999</v>
      </c>
      <c r="Q1145"/>
      <c r="R1145"/>
      <c r="S1145"/>
      <c r="T1145">
        <f>T1258</f>
        <v>0</v>
      </c>
      <c r="U1145" s="65">
        <v>966.23</v>
      </c>
      <c r="V1145"/>
      <c r="W1145" s="58">
        <v>112</v>
      </c>
      <c r="X1145"/>
      <c r="Y1145"/>
      <c r="Z1145"/>
      <c r="AA1145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38"/>
      <c r="AW1145" s="38"/>
      <c r="AX1145" s="38"/>
      <c r="AY1145" s="38"/>
      <c r="AZ1145" s="6" t="s">
        <v>190</v>
      </c>
      <c r="BA1145" s="38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</row>
    <row r="1146" spans="1:63" s="19" customFormat="1" ht="15" x14ac:dyDescent="0.25">
      <c r="A1146" s="59"/>
      <c r="B1146" s="98"/>
      <c r="C1146" s="102" t="s">
        <v>63</v>
      </c>
      <c r="D1146" s="102"/>
      <c r="E1146" s="102"/>
      <c r="F1146" s="102"/>
      <c r="G1146" s="102"/>
      <c r="H1146" s="41"/>
      <c r="I1146" s="42"/>
      <c r="J1146" s="42"/>
      <c r="K1146" s="42"/>
      <c r="L1146" s="45"/>
      <c r="M1146" s="42"/>
      <c r="N1146" s="49">
        <v>35330.69</v>
      </c>
      <c r="O1146" s="42"/>
      <c r="P1146" s="50">
        <v>4765.9334999999992</v>
      </c>
      <c r="Q1146"/>
      <c r="R1146"/>
      <c r="S1146"/>
      <c r="T1146">
        <f>T1258</f>
        <v>0</v>
      </c>
      <c r="U1146" s="50">
        <f>4144.29*(K1141/W1142)</f>
        <v>3392.8528021978022</v>
      </c>
      <c r="V1146"/>
      <c r="W1146" s="58">
        <v>65</v>
      </c>
      <c r="X1146"/>
      <c r="Y1146"/>
      <c r="Z1146"/>
      <c r="AA114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38"/>
      <c r="AW1146" s="38"/>
      <c r="AX1146" s="38"/>
      <c r="AY1146" s="38"/>
      <c r="AZ1146" s="6"/>
      <c r="BA1146" s="38" t="s">
        <v>63</v>
      </c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</row>
    <row r="1147" spans="1:63" s="19" customFormat="1" ht="15" x14ac:dyDescent="0.25">
      <c r="A1147" s="39" t="s">
        <v>801</v>
      </c>
      <c r="B1147" s="97" t="s">
        <v>192</v>
      </c>
      <c r="C1147" s="103" t="s">
        <v>193</v>
      </c>
      <c r="D1147" s="103"/>
      <c r="E1147" s="103"/>
      <c r="F1147" s="103"/>
      <c r="G1147" s="103"/>
      <c r="H1147" s="41" t="s">
        <v>170</v>
      </c>
      <c r="I1147" s="42">
        <v>0.239292</v>
      </c>
      <c r="J1147" s="43">
        <v>1</v>
      </c>
      <c r="K1147" s="68">
        <v>0.239292</v>
      </c>
      <c r="L1147" s="45"/>
      <c r="M1147" s="42"/>
      <c r="N1147" s="49">
        <v>6212.75</v>
      </c>
      <c r="O1147" s="42"/>
      <c r="P1147" s="50">
        <v>1709.6589999999999</v>
      </c>
      <c r="Q1147"/>
      <c r="R1147"/>
      <c r="S1147"/>
      <c r="T1147">
        <f>T1258</f>
        <v>0</v>
      </c>
      <c r="U1147" s="50">
        <f>U1148</f>
        <v>1486.66</v>
      </c>
      <c r="V1147"/>
      <c r="W1147" s="42"/>
      <c r="X1147"/>
      <c r="Y1147"/>
      <c r="Z1147"/>
      <c r="AA1147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38"/>
      <c r="AW1147" s="38"/>
      <c r="AX1147" s="38" t="s">
        <v>193</v>
      </c>
      <c r="AY1147" s="38"/>
      <c r="AZ1147" s="6"/>
      <c r="BA1147" s="38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</row>
    <row r="1148" spans="1:63" s="19" customFormat="1" ht="15" x14ac:dyDescent="0.25">
      <c r="A1148" s="59"/>
      <c r="B1148" s="98"/>
      <c r="C1148" s="102" t="s">
        <v>63</v>
      </c>
      <c r="D1148" s="102"/>
      <c r="E1148" s="102"/>
      <c r="F1148" s="102"/>
      <c r="G1148" s="102"/>
      <c r="H1148" s="41"/>
      <c r="I1148" s="42"/>
      <c r="J1148" s="42"/>
      <c r="K1148" s="42"/>
      <c r="L1148" s="45"/>
      <c r="M1148" s="42"/>
      <c r="N1148" s="45"/>
      <c r="O1148" s="42"/>
      <c r="P1148" s="50">
        <v>1709.6589999999999</v>
      </c>
      <c r="Q1148"/>
      <c r="R1148"/>
      <c r="S1148"/>
      <c r="T1148">
        <f>T1258</f>
        <v>0</v>
      </c>
      <c r="U1148" s="50">
        <f>1486.66*(K1147/W1148)</f>
        <v>1486.66</v>
      </c>
      <c r="V1148"/>
      <c r="W1148" s="68">
        <v>0.239292</v>
      </c>
      <c r="X1148"/>
      <c r="Y1148"/>
      <c r="Z1148"/>
      <c r="AA1148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38"/>
      <c r="AW1148" s="38"/>
      <c r="AX1148" s="38"/>
      <c r="AY1148" s="38"/>
      <c r="AZ1148" s="6"/>
      <c r="BA1148" s="38" t="s">
        <v>63</v>
      </c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</row>
    <row r="1149" spans="1:63" s="19" customFormat="1" ht="34.5" x14ac:dyDescent="0.25">
      <c r="A1149" s="39" t="s">
        <v>802</v>
      </c>
      <c r="B1149" s="97" t="s">
        <v>195</v>
      </c>
      <c r="C1149" s="103" t="s">
        <v>196</v>
      </c>
      <c r="D1149" s="103"/>
      <c r="E1149" s="103"/>
      <c r="F1149" s="103"/>
      <c r="G1149" s="103"/>
      <c r="H1149" s="41" t="s">
        <v>55</v>
      </c>
      <c r="I1149" s="42">
        <v>0.182</v>
      </c>
      <c r="J1149" s="43">
        <v>1</v>
      </c>
      <c r="K1149" s="44">
        <v>0.182</v>
      </c>
      <c r="L1149" s="45"/>
      <c r="M1149" s="42"/>
      <c r="N1149" s="45"/>
      <c r="O1149" s="42"/>
      <c r="P1149" s="50"/>
      <c r="Q1149"/>
      <c r="R1149"/>
      <c r="S1149"/>
      <c r="T1149"/>
      <c r="U1149" s="46"/>
      <c r="V1149"/>
      <c r="W1149" s="42"/>
      <c r="X1149"/>
      <c r="Y1149"/>
      <c r="Z1149"/>
      <c r="AA1149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38"/>
      <c r="AW1149" s="38"/>
      <c r="AX1149" s="38" t="s">
        <v>196</v>
      </c>
      <c r="AY1149" s="38"/>
      <c r="AZ1149" s="6"/>
      <c r="BA1149" s="38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</row>
    <row r="1150" spans="1:63" s="19" customFormat="1" ht="15" x14ac:dyDescent="0.25">
      <c r="A1150" s="47"/>
      <c r="B1150" s="48"/>
      <c r="C1150" s="102" t="s">
        <v>56</v>
      </c>
      <c r="D1150" s="102"/>
      <c r="E1150" s="102"/>
      <c r="F1150" s="102"/>
      <c r="G1150" s="102"/>
      <c r="H1150" s="41"/>
      <c r="I1150" s="42"/>
      <c r="J1150" s="42"/>
      <c r="K1150" s="42"/>
      <c r="L1150" s="45"/>
      <c r="M1150" s="42"/>
      <c r="N1150" s="49"/>
      <c r="O1150" s="42"/>
      <c r="P1150" s="90">
        <v>206.03399999999999</v>
      </c>
      <c r="Q1150" s="51"/>
      <c r="R1150" s="51"/>
      <c r="S1150"/>
      <c r="T1150">
        <f>T1258</f>
        <v>0</v>
      </c>
      <c r="U1150" s="50">
        <v>179.16</v>
      </c>
      <c r="V1150"/>
      <c r="W1150" s="44">
        <v>0.182</v>
      </c>
      <c r="X1150"/>
      <c r="Y1150"/>
      <c r="Z1150"/>
      <c r="AA1150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38"/>
      <c r="AW1150" s="38"/>
      <c r="AX1150" s="38"/>
      <c r="AY1150" s="38" t="s">
        <v>56</v>
      </c>
      <c r="AZ1150" s="6"/>
      <c r="BA1150" s="38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</row>
    <row r="1151" spans="1:63" s="19" customFormat="1" ht="15" x14ac:dyDescent="0.25">
      <c r="A1151" s="52"/>
      <c r="B1151" s="53"/>
      <c r="C1151" s="104" t="s">
        <v>57</v>
      </c>
      <c r="D1151" s="104"/>
      <c r="E1151" s="104"/>
      <c r="F1151" s="104"/>
      <c r="G1151" s="104"/>
      <c r="H1151" s="54"/>
      <c r="I1151" s="55"/>
      <c r="J1151" s="55"/>
      <c r="K1151" s="55"/>
      <c r="L1151" s="56"/>
      <c r="M1151" s="55"/>
      <c r="N1151" s="56"/>
      <c r="O1151" s="55"/>
      <c r="P1151" s="77">
        <v>184.57499999999999</v>
      </c>
      <c r="Q1151"/>
      <c r="R1151"/>
      <c r="S1151"/>
      <c r="T1151">
        <f>T1258</f>
        <v>0</v>
      </c>
      <c r="U1151" s="65">
        <v>160.5</v>
      </c>
      <c r="V1151"/>
      <c r="W1151" s="42"/>
      <c r="X1151"/>
      <c r="Y1151"/>
      <c r="Z1151"/>
      <c r="AA1151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38"/>
      <c r="AW1151" s="38"/>
      <c r="AX1151" s="38"/>
      <c r="AY1151" s="38"/>
      <c r="AZ1151" s="6" t="s">
        <v>57</v>
      </c>
      <c r="BA1151" s="38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</row>
    <row r="1152" spans="1:63" s="19" customFormat="1" ht="15" x14ac:dyDescent="0.25">
      <c r="A1152" s="52"/>
      <c r="B1152" s="53" t="s">
        <v>187</v>
      </c>
      <c r="C1152" s="104" t="s">
        <v>188</v>
      </c>
      <c r="D1152" s="104"/>
      <c r="E1152" s="104"/>
      <c r="F1152" s="104"/>
      <c r="G1152" s="104"/>
      <c r="H1152" s="54" t="s">
        <v>60</v>
      </c>
      <c r="I1152" s="58">
        <v>112</v>
      </c>
      <c r="J1152" s="55"/>
      <c r="K1152" s="58">
        <v>112</v>
      </c>
      <c r="L1152" s="56"/>
      <c r="M1152" s="55"/>
      <c r="N1152" s="56"/>
      <c r="O1152" s="55"/>
      <c r="P1152" s="77">
        <v>206.72399999999996</v>
      </c>
      <c r="Q1152"/>
      <c r="R1152"/>
      <c r="S1152"/>
      <c r="T1152">
        <f>T1258</f>
        <v>0</v>
      </c>
      <c r="U1152" s="65">
        <v>179.76</v>
      </c>
      <c r="V1152"/>
      <c r="W1152" s="55"/>
      <c r="X1152"/>
      <c r="Y1152"/>
      <c r="Z1152"/>
      <c r="AA1152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38"/>
      <c r="AW1152" s="38"/>
      <c r="AX1152" s="38"/>
      <c r="AY1152" s="38"/>
      <c r="AZ1152" s="6" t="s">
        <v>188</v>
      </c>
      <c r="BA1152" s="38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</row>
    <row r="1153" spans="1:63" s="19" customFormat="1" ht="15" x14ac:dyDescent="0.25">
      <c r="A1153" s="52"/>
      <c r="B1153" s="53" t="s">
        <v>189</v>
      </c>
      <c r="C1153" s="104" t="s">
        <v>190</v>
      </c>
      <c r="D1153" s="104"/>
      <c r="E1153" s="104"/>
      <c r="F1153" s="104"/>
      <c r="G1153" s="104"/>
      <c r="H1153" s="54" t="s">
        <v>60</v>
      </c>
      <c r="I1153" s="58">
        <v>65</v>
      </c>
      <c r="J1153" s="55"/>
      <c r="K1153" s="58">
        <v>65</v>
      </c>
      <c r="L1153" s="56"/>
      <c r="M1153" s="55"/>
      <c r="N1153" s="56"/>
      <c r="O1153" s="55"/>
      <c r="P1153" s="77">
        <v>119.97949999999999</v>
      </c>
      <c r="Q1153"/>
      <c r="R1153"/>
      <c r="S1153"/>
      <c r="T1153">
        <f>T1258</f>
        <v>0</v>
      </c>
      <c r="U1153" s="65">
        <v>104.33</v>
      </c>
      <c r="V1153"/>
      <c r="W1153" s="58">
        <v>112</v>
      </c>
      <c r="X1153"/>
      <c r="Y1153"/>
      <c r="Z1153"/>
      <c r="AA1153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38"/>
      <c r="AW1153" s="38"/>
      <c r="AX1153" s="38"/>
      <c r="AY1153" s="38"/>
      <c r="AZ1153" s="6" t="s">
        <v>190</v>
      </c>
      <c r="BA1153" s="38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</row>
    <row r="1154" spans="1:63" s="19" customFormat="1" ht="15" x14ac:dyDescent="0.25">
      <c r="A1154" s="59"/>
      <c r="B1154" s="98"/>
      <c r="C1154" s="102" t="s">
        <v>63</v>
      </c>
      <c r="D1154" s="102"/>
      <c r="E1154" s="102"/>
      <c r="F1154" s="102"/>
      <c r="G1154" s="102"/>
      <c r="H1154" s="41"/>
      <c r="I1154" s="42"/>
      <c r="J1154" s="42"/>
      <c r="K1154" s="42"/>
      <c r="L1154" s="45"/>
      <c r="M1154" s="42"/>
      <c r="N1154" s="49">
        <v>3949.28</v>
      </c>
      <c r="O1154" s="42"/>
      <c r="P1154" s="50">
        <v>532.73749999999995</v>
      </c>
      <c r="Q1154"/>
      <c r="R1154"/>
      <c r="S1154"/>
      <c r="T1154">
        <f>T1258</f>
        <v>0</v>
      </c>
      <c r="U1154" s="63">
        <f>463.25*(K1149/W1150)</f>
        <v>463.25</v>
      </c>
      <c r="V1154"/>
      <c r="W1154" s="58">
        <v>65</v>
      </c>
      <c r="X1154"/>
      <c r="Y1154"/>
      <c r="Z1154"/>
      <c r="AA1154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38"/>
      <c r="AW1154" s="38"/>
      <c r="AX1154" s="38"/>
      <c r="AY1154" s="38"/>
      <c r="AZ1154" s="6"/>
      <c r="BA1154" s="38" t="s">
        <v>63</v>
      </c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</row>
    <row r="1155" spans="1:63" s="19" customFormat="1" ht="15" x14ac:dyDescent="0.25">
      <c r="A1155" s="39" t="s">
        <v>803</v>
      </c>
      <c r="B1155" s="97" t="s">
        <v>192</v>
      </c>
      <c r="C1155" s="103" t="s">
        <v>193</v>
      </c>
      <c r="D1155" s="103"/>
      <c r="E1155" s="103"/>
      <c r="F1155" s="103"/>
      <c r="G1155" s="103"/>
      <c r="H1155" s="41" t="s">
        <v>170</v>
      </c>
      <c r="I1155" s="42">
        <v>0.35893799999999998</v>
      </c>
      <c r="J1155" s="43">
        <v>1</v>
      </c>
      <c r="K1155" s="68">
        <v>0.35893799999999998</v>
      </c>
      <c r="L1155" s="45"/>
      <c r="M1155" s="42"/>
      <c r="N1155" s="49">
        <v>6212.75</v>
      </c>
      <c r="O1155" s="42"/>
      <c r="P1155" s="50">
        <v>2564.4884999999995</v>
      </c>
      <c r="Q1155"/>
      <c r="R1155"/>
      <c r="S1155"/>
      <c r="T1155">
        <f>T1258</f>
        <v>0</v>
      </c>
      <c r="U1155" s="50">
        <f>U1156</f>
        <v>2229.9899999999998</v>
      </c>
      <c r="V1155"/>
      <c r="W1155" s="42"/>
      <c r="X1155"/>
      <c r="Y1155"/>
      <c r="Z1155"/>
      <c r="AA1155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38"/>
      <c r="AW1155" s="38"/>
      <c r="AX1155" s="38" t="s">
        <v>193</v>
      </c>
      <c r="AY1155" s="38"/>
      <c r="AZ1155" s="6"/>
      <c r="BA1155" s="38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</row>
    <row r="1156" spans="1:63" s="19" customFormat="1" ht="15" x14ac:dyDescent="0.25">
      <c r="A1156" s="59"/>
      <c r="B1156" s="98"/>
      <c r="C1156" s="102" t="s">
        <v>63</v>
      </c>
      <c r="D1156" s="102"/>
      <c r="E1156" s="102"/>
      <c r="F1156" s="102"/>
      <c r="G1156" s="102"/>
      <c r="H1156" s="41"/>
      <c r="I1156" s="42"/>
      <c r="J1156" s="42"/>
      <c r="K1156" s="42"/>
      <c r="L1156" s="45"/>
      <c r="M1156" s="42"/>
      <c r="N1156" s="45"/>
      <c r="O1156" s="42"/>
      <c r="P1156" s="50">
        <v>2564.4884999999995</v>
      </c>
      <c r="Q1156"/>
      <c r="R1156"/>
      <c r="S1156"/>
      <c r="T1156">
        <f>T1258</f>
        <v>0</v>
      </c>
      <c r="U1156" s="50">
        <f>2229.99*(K1155/W1156)</f>
        <v>2229.9899999999998</v>
      </c>
      <c r="V1156"/>
      <c r="W1156" s="68">
        <v>0.35893799999999998</v>
      </c>
      <c r="X1156"/>
      <c r="Y1156"/>
      <c r="Z1156"/>
      <c r="AA115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38"/>
      <c r="AW1156" s="38"/>
      <c r="AX1156" s="38"/>
      <c r="AY1156" s="38"/>
      <c r="AZ1156" s="6"/>
      <c r="BA1156" s="38" t="s">
        <v>63</v>
      </c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</row>
    <row r="1157" spans="1:63" s="19" customFormat="1" ht="23.25" x14ac:dyDescent="0.25">
      <c r="A1157" s="39" t="s">
        <v>804</v>
      </c>
      <c r="B1157" s="97" t="s">
        <v>199</v>
      </c>
      <c r="C1157" s="103" t="s">
        <v>200</v>
      </c>
      <c r="D1157" s="103"/>
      <c r="E1157" s="103"/>
      <c r="F1157" s="103"/>
      <c r="G1157" s="103"/>
      <c r="H1157" s="41" t="s">
        <v>55</v>
      </c>
      <c r="I1157" s="42">
        <v>0.182</v>
      </c>
      <c r="J1157" s="43">
        <v>1</v>
      </c>
      <c r="K1157" s="44">
        <v>0.182</v>
      </c>
      <c r="L1157" s="45"/>
      <c r="M1157" s="42"/>
      <c r="N1157" s="45"/>
      <c r="O1157" s="42"/>
      <c r="P1157" s="50"/>
      <c r="Q1157"/>
      <c r="R1157"/>
      <c r="S1157"/>
      <c r="T1157"/>
      <c r="U1157" s="46"/>
      <c r="V1157"/>
      <c r="W1157" s="42"/>
      <c r="X1157"/>
      <c r="Y1157"/>
      <c r="Z1157"/>
      <c r="AA1157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38"/>
      <c r="AW1157" s="38"/>
      <c r="AX1157" s="38" t="s">
        <v>200</v>
      </c>
      <c r="AY1157" s="38"/>
      <c r="AZ1157" s="6"/>
      <c r="BA1157" s="38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</row>
    <row r="1158" spans="1:63" s="19" customFormat="1" ht="15" x14ac:dyDescent="0.25">
      <c r="A1158" s="47"/>
      <c r="B1158" s="48"/>
      <c r="C1158" s="102" t="s">
        <v>56</v>
      </c>
      <c r="D1158" s="102"/>
      <c r="E1158" s="102"/>
      <c r="F1158" s="102"/>
      <c r="G1158" s="102"/>
      <c r="H1158" s="41"/>
      <c r="I1158" s="42"/>
      <c r="J1158" s="42"/>
      <c r="K1158" s="42"/>
      <c r="L1158" s="45"/>
      <c r="M1158" s="42"/>
      <c r="N1158" s="49"/>
      <c r="O1158" s="42"/>
      <c r="P1158" s="50">
        <v>20427.219999999998</v>
      </c>
      <c r="Q1158" s="51"/>
      <c r="R1158" s="51"/>
      <c r="S1158"/>
      <c r="T1158">
        <f>T1258</f>
        <v>0</v>
      </c>
      <c r="U1158" s="50">
        <v>17762.8</v>
      </c>
      <c r="V1158"/>
      <c r="W1158" s="44">
        <v>0.182</v>
      </c>
      <c r="X1158"/>
      <c r="Y1158"/>
      <c r="Z1158"/>
      <c r="AA1158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38"/>
      <c r="AW1158" s="38"/>
      <c r="AX1158" s="38"/>
      <c r="AY1158" s="38" t="s">
        <v>56</v>
      </c>
      <c r="AZ1158" s="6"/>
      <c r="BA1158" s="38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</row>
    <row r="1159" spans="1:63" s="19" customFormat="1" ht="15" x14ac:dyDescent="0.25">
      <c r="A1159" s="52"/>
      <c r="B1159" s="53"/>
      <c r="C1159" s="104" t="s">
        <v>57</v>
      </c>
      <c r="D1159" s="104"/>
      <c r="E1159" s="104"/>
      <c r="F1159" s="104"/>
      <c r="G1159" s="104"/>
      <c r="H1159" s="54"/>
      <c r="I1159" s="55"/>
      <c r="J1159" s="55"/>
      <c r="K1159" s="55"/>
      <c r="L1159" s="56"/>
      <c r="M1159" s="55"/>
      <c r="N1159" s="56"/>
      <c r="O1159" s="55"/>
      <c r="P1159" s="77">
        <v>20289.035999999996</v>
      </c>
      <c r="Q1159"/>
      <c r="R1159"/>
      <c r="S1159"/>
      <c r="T1159">
        <f>T1258</f>
        <v>0</v>
      </c>
      <c r="U1159" s="57">
        <v>17642.64</v>
      </c>
      <c r="V1159"/>
      <c r="W1159" s="42"/>
      <c r="X1159"/>
      <c r="Y1159"/>
      <c r="Z1159"/>
      <c r="AA1159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38"/>
      <c r="AW1159" s="38"/>
      <c r="AX1159" s="38"/>
      <c r="AY1159" s="38"/>
      <c r="AZ1159" s="6" t="s">
        <v>57</v>
      </c>
      <c r="BA1159" s="38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</row>
    <row r="1160" spans="1:63" s="19" customFormat="1" ht="15" x14ac:dyDescent="0.25">
      <c r="A1160" s="52"/>
      <c r="B1160" s="53" t="s">
        <v>187</v>
      </c>
      <c r="C1160" s="104" t="s">
        <v>188</v>
      </c>
      <c r="D1160" s="104"/>
      <c r="E1160" s="104"/>
      <c r="F1160" s="104"/>
      <c r="G1160" s="104"/>
      <c r="H1160" s="54" t="s">
        <v>60</v>
      </c>
      <c r="I1160" s="58">
        <v>112</v>
      </c>
      <c r="J1160" s="55"/>
      <c r="K1160" s="58">
        <v>112</v>
      </c>
      <c r="L1160" s="56"/>
      <c r="M1160" s="55"/>
      <c r="N1160" s="56"/>
      <c r="O1160" s="55"/>
      <c r="P1160" s="77">
        <v>22723.723999999995</v>
      </c>
      <c r="Q1160"/>
      <c r="R1160"/>
      <c r="S1160"/>
      <c r="T1160">
        <f>T1258</f>
        <v>0</v>
      </c>
      <c r="U1160" s="57">
        <v>19759.759999999998</v>
      </c>
      <c r="V1160"/>
      <c r="W1160" s="55"/>
      <c r="X1160"/>
      <c r="Y1160"/>
      <c r="Z1160"/>
      <c r="AA1160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38"/>
      <c r="AW1160" s="38"/>
      <c r="AX1160" s="38"/>
      <c r="AY1160" s="38"/>
      <c r="AZ1160" s="6" t="s">
        <v>188</v>
      </c>
      <c r="BA1160" s="38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</row>
    <row r="1161" spans="1:63" s="19" customFormat="1" ht="15" x14ac:dyDescent="0.25">
      <c r="A1161" s="52"/>
      <c r="B1161" s="53" t="s">
        <v>189</v>
      </c>
      <c r="C1161" s="104" t="s">
        <v>190</v>
      </c>
      <c r="D1161" s="104"/>
      <c r="E1161" s="104"/>
      <c r="F1161" s="104"/>
      <c r="G1161" s="104"/>
      <c r="H1161" s="54" t="s">
        <v>60</v>
      </c>
      <c r="I1161" s="58">
        <v>65</v>
      </c>
      <c r="J1161" s="55"/>
      <c r="K1161" s="58">
        <v>65</v>
      </c>
      <c r="L1161" s="56"/>
      <c r="M1161" s="55"/>
      <c r="N1161" s="56"/>
      <c r="O1161" s="55"/>
      <c r="P1161" s="77">
        <v>13187.877999999999</v>
      </c>
      <c r="Q1161"/>
      <c r="R1161"/>
      <c r="S1161"/>
      <c r="T1161">
        <f>T1258</f>
        <v>0</v>
      </c>
      <c r="U1161" s="57">
        <v>11467.72</v>
      </c>
      <c r="V1161"/>
      <c r="W1161" s="58">
        <v>112</v>
      </c>
      <c r="X1161"/>
      <c r="Y1161"/>
      <c r="Z1161"/>
      <c r="AA1161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38"/>
      <c r="AW1161" s="38"/>
      <c r="AX1161" s="38"/>
      <c r="AY1161" s="38"/>
      <c r="AZ1161" s="6" t="s">
        <v>190</v>
      </c>
      <c r="BA1161" s="38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</row>
    <row r="1162" spans="1:63" s="19" customFormat="1" ht="15" x14ac:dyDescent="0.25">
      <c r="A1162" s="59"/>
      <c r="B1162" s="98"/>
      <c r="C1162" s="102" t="s">
        <v>63</v>
      </c>
      <c r="D1162" s="102"/>
      <c r="E1162" s="102"/>
      <c r="F1162" s="102"/>
      <c r="G1162" s="102"/>
      <c r="H1162" s="41"/>
      <c r="I1162" s="42"/>
      <c r="J1162" s="42"/>
      <c r="K1162" s="42"/>
      <c r="L1162" s="45"/>
      <c r="M1162" s="42"/>
      <c r="N1162" s="49">
        <v>326601.87</v>
      </c>
      <c r="O1162" s="42"/>
      <c r="P1162" s="50">
        <v>56338.821999999993</v>
      </c>
      <c r="Q1162"/>
      <c r="R1162"/>
      <c r="S1162"/>
      <c r="T1162">
        <f>T1258</f>
        <v>0</v>
      </c>
      <c r="U1162" s="50">
        <f>48990.28*(K1157/W1158)</f>
        <v>48990.28</v>
      </c>
      <c r="V1162"/>
      <c r="W1162" s="58">
        <v>65</v>
      </c>
      <c r="X1162"/>
      <c r="Y1162"/>
      <c r="Z1162"/>
      <c r="AA1162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38"/>
      <c r="AW1162" s="38"/>
      <c r="AX1162" s="38"/>
      <c r="AY1162" s="38"/>
      <c r="AZ1162" s="6"/>
      <c r="BA1162" s="38" t="s">
        <v>63</v>
      </c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</row>
    <row r="1163" spans="1:63" s="19" customFormat="1" ht="23.25" x14ac:dyDescent="0.25">
      <c r="A1163" s="39" t="s">
        <v>805</v>
      </c>
      <c r="B1163" s="97" t="s">
        <v>202</v>
      </c>
      <c r="C1163" s="103" t="s">
        <v>203</v>
      </c>
      <c r="D1163" s="103"/>
      <c r="E1163" s="103"/>
      <c r="F1163" s="103"/>
      <c r="G1163" s="103"/>
      <c r="H1163" s="41" t="s">
        <v>67</v>
      </c>
      <c r="I1163" s="42">
        <v>3</v>
      </c>
      <c r="J1163" s="43">
        <v>1</v>
      </c>
      <c r="K1163" s="43">
        <v>3</v>
      </c>
      <c r="L1163" s="49">
        <v>1284.05</v>
      </c>
      <c r="M1163" s="67">
        <v>1.2</v>
      </c>
      <c r="N1163" s="49">
        <v>1540.86</v>
      </c>
      <c r="O1163" s="42"/>
      <c r="P1163" s="50">
        <v>5315.9669999999996</v>
      </c>
      <c r="Q1163"/>
      <c r="R1163"/>
      <c r="S1163"/>
      <c r="T1163">
        <f>T1258</f>
        <v>0</v>
      </c>
      <c r="U1163" s="50">
        <f>U1164</f>
        <v>4622.58</v>
      </c>
      <c r="V1163"/>
      <c r="W1163" s="42"/>
      <c r="X1163"/>
      <c r="Y1163"/>
      <c r="Z1163"/>
      <c r="AA1163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38"/>
      <c r="AW1163" s="38"/>
      <c r="AX1163" s="38" t="s">
        <v>203</v>
      </c>
      <c r="AY1163" s="38"/>
      <c r="AZ1163" s="6"/>
      <c r="BA1163" s="38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</row>
    <row r="1164" spans="1:63" s="19" customFormat="1" ht="15" x14ac:dyDescent="0.25">
      <c r="A1164" s="59"/>
      <c r="B1164" s="98"/>
      <c r="C1164" s="102" t="s">
        <v>63</v>
      </c>
      <c r="D1164" s="102"/>
      <c r="E1164" s="102"/>
      <c r="F1164" s="102"/>
      <c r="G1164" s="102"/>
      <c r="H1164" s="41"/>
      <c r="I1164" s="42"/>
      <c r="J1164" s="42"/>
      <c r="K1164" s="42"/>
      <c r="L1164" s="45"/>
      <c r="M1164" s="42"/>
      <c r="N1164" s="45"/>
      <c r="O1164" s="42"/>
      <c r="P1164" s="50">
        <v>5315.9669999999996</v>
      </c>
      <c r="Q1164"/>
      <c r="R1164"/>
      <c r="S1164"/>
      <c r="T1164">
        <f>T1258</f>
        <v>0</v>
      </c>
      <c r="U1164" s="50">
        <f>4622.58*(K1163/W1164)</f>
        <v>4622.58</v>
      </c>
      <c r="V1164"/>
      <c r="W1164" s="43">
        <v>3</v>
      </c>
      <c r="X1164"/>
      <c r="Y1164"/>
      <c r="Z1164"/>
      <c r="AA1164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38"/>
      <c r="AW1164" s="38"/>
      <c r="AX1164" s="38"/>
      <c r="AY1164" s="38"/>
      <c r="AZ1164" s="6"/>
      <c r="BA1164" s="38" t="s">
        <v>63</v>
      </c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</row>
    <row r="1165" spans="1:63" s="19" customFormat="1" ht="34.5" x14ac:dyDescent="0.25">
      <c r="A1165" s="39" t="s">
        <v>806</v>
      </c>
      <c r="B1165" s="97" t="s">
        <v>205</v>
      </c>
      <c r="C1165" s="103" t="s">
        <v>206</v>
      </c>
      <c r="D1165" s="103"/>
      <c r="E1165" s="103"/>
      <c r="F1165" s="103"/>
      <c r="G1165" s="103"/>
      <c r="H1165" s="41" t="s">
        <v>71</v>
      </c>
      <c r="I1165" s="42">
        <v>0.18</v>
      </c>
      <c r="J1165" s="43">
        <v>1</v>
      </c>
      <c r="K1165" s="62">
        <v>0.18</v>
      </c>
      <c r="L1165" s="49">
        <v>36038.35</v>
      </c>
      <c r="M1165" s="62">
        <v>1.1399999999999999</v>
      </c>
      <c r="N1165" s="49">
        <v>41083.72</v>
      </c>
      <c r="O1165" s="42"/>
      <c r="P1165" s="50">
        <v>8504.3304999999982</v>
      </c>
      <c r="Q1165"/>
      <c r="R1165"/>
      <c r="S1165"/>
      <c r="T1165">
        <f>T1258</f>
        <v>0</v>
      </c>
      <c r="U1165" s="50">
        <f>U1166</f>
        <v>7395.07</v>
      </c>
      <c r="V1165"/>
      <c r="W1165" s="42"/>
      <c r="X1165"/>
      <c r="Y1165"/>
      <c r="Z1165"/>
      <c r="AA1165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38"/>
      <c r="AW1165" s="38"/>
      <c r="AX1165" s="38" t="s">
        <v>206</v>
      </c>
      <c r="AY1165" s="38"/>
      <c r="AZ1165" s="6"/>
      <c r="BA1165" s="38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</row>
    <row r="1166" spans="1:63" s="19" customFormat="1" ht="15" x14ac:dyDescent="0.25">
      <c r="A1166" s="59"/>
      <c r="B1166" s="98"/>
      <c r="C1166" s="102" t="s">
        <v>63</v>
      </c>
      <c r="D1166" s="102"/>
      <c r="E1166" s="102"/>
      <c r="F1166" s="102"/>
      <c r="G1166" s="102"/>
      <c r="H1166" s="41"/>
      <c r="I1166" s="42"/>
      <c r="J1166" s="42"/>
      <c r="K1166" s="42"/>
      <c r="L1166" s="45"/>
      <c r="M1166" s="42"/>
      <c r="N1166" s="45"/>
      <c r="O1166" s="42"/>
      <c r="P1166" s="50">
        <v>8504.3304999999982</v>
      </c>
      <c r="Q1166"/>
      <c r="R1166"/>
      <c r="S1166"/>
      <c r="T1166">
        <f>T1258</f>
        <v>0</v>
      </c>
      <c r="U1166" s="50">
        <f>7395.07*(K1165/W1166)</f>
        <v>7395.07</v>
      </c>
      <c r="V1166"/>
      <c r="W1166" s="62">
        <v>0.18</v>
      </c>
      <c r="X1166"/>
      <c r="Y1166"/>
      <c r="Z1166"/>
      <c r="AA116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38"/>
      <c r="AW1166" s="38"/>
      <c r="AX1166" s="38"/>
      <c r="AY1166" s="38"/>
      <c r="AZ1166" s="6"/>
      <c r="BA1166" s="38" t="s">
        <v>63</v>
      </c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</row>
    <row r="1167" spans="1:63" s="19" customFormat="1" ht="40.5" customHeight="1" x14ac:dyDescent="0.25">
      <c r="A1167" s="39" t="s">
        <v>807</v>
      </c>
      <c r="B1167" s="97" t="s">
        <v>208</v>
      </c>
      <c r="C1167" s="103" t="s">
        <v>305</v>
      </c>
      <c r="D1167" s="103"/>
      <c r="E1167" s="103"/>
      <c r="F1167" s="103"/>
      <c r="G1167" s="103"/>
      <c r="H1167" s="41" t="s">
        <v>105</v>
      </c>
      <c r="I1167" s="42">
        <v>15.02</v>
      </c>
      <c r="J1167" s="43">
        <v>1</v>
      </c>
      <c r="K1167" s="62">
        <v>15.02</v>
      </c>
      <c r="L1167" s="61">
        <v>603.37</v>
      </c>
      <c r="M1167" s="62">
        <v>1.25</v>
      </c>
      <c r="N1167" s="61">
        <v>754.21</v>
      </c>
      <c r="O1167" s="42"/>
      <c r="P1167" s="50">
        <v>13270.321499999998</v>
      </c>
      <c r="Q1167"/>
      <c r="R1167"/>
      <c r="S1167"/>
      <c r="T1167">
        <f>T1258</f>
        <v>0</v>
      </c>
      <c r="U1167" s="50">
        <f>U1168</f>
        <v>15685.243276018098</v>
      </c>
      <c r="V1167"/>
      <c r="W1167" s="42"/>
      <c r="X1167"/>
      <c r="Y1167"/>
      <c r="Z1167"/>
      <c r="AA1167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38"/>
      <c r="AW1167" s="38"/>
      <c r="AX1167" s="38" t="s">
        <v>209</v>
      </c>
      <c r="AY1167" s="38"/>
      <c r="AZ1167" s="6"/>
      <c r="BA1167" s="38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</row>
    <row r="1168" spans="1:63" s="19" customFormat="1" ht="15" x14ac:dyDescent="0.25">
      <c r="A1168" s="59"/>
      <c r="B1168" s="98"/>
      <c r="C1168" s="102" t="s">
        <v>63</v>
      </c>
      <c r="D1168" s="102"/>
      <c r="E1168" s="102"/>
      <c r="F1168" s="102"/>
      <c r="G1168" s="102"/>
      <c r="H1168" s="41"/>
      <c r="I1168" s="42"/>
      <c r="J1168" s="42"/>
      <c r="K1168" s="42"/>
      <c r="L1168" s="45"/>
      <c r="M1168" s="42"/>
      <c r="N1168" s="45"/>
      <c r="O1168" s="42"/>
      <c r="P1168" s="50">
        <v>13270.321499999998</v>
      </c>
      <c r="Q1168"/>
      <c r="R1168"/>
      <c r="S1168"/>
      <c r="T1168">
        <f>T1258</f>
        <v>0</v>
      </c>
      <c r="U1168" s="50">
        <f>11539.41*(K1167/W1168)</f>
        <v>15685.243276018098</v>
      </c>
      <c r="V1168"/>
      <c r="W1168" s="67">
        <v>11.05</v>
      </c>
      <c r="X1168"/>
      <c r="Y1168"/>
      <c r="Z1168"/>
      <c r="AA1168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38"/>
      <c r="AW1168" s="38"/>
      <c r="AX1168" s="38"/>
      <c r="AY1168" s="38"/>
      <c r="AZ1168" s="6"/>
      <c r="BA1168" s="38" t="s">
        <v>63</v>
      </c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</row>
    <row r="1169" spans="1:63" s="19" customFormat="1" ht="15" x14ac:dyDescent="0.25">
      <c r="A1169" s="107" t="s">
        <v>210</v>
      </c>
      <c r="B1169" s="108"/>
      <c r="C1169" s="108"/>
      <c r="D1169" s="108"/>
      <c r="E1169" s="108"/>
      <c r="F1169" s="108"/>
      <c r="G1169" s="108"/>
      <c r="H1169" s="108"/>
      <c r="I1169" s="108"/>
      <c r="J1169" s="108"/>
      <c r="K1169" s="108"/>
      <c r="L1169" s="108"/>
      <c r="M1169" s="108"/>
      <c r="N1169" s="108"/>
      <c r="O1169" s="108"/>
      <c r="P1169" s="109"/>
      <c r="Q1169"/>
      <c r="R1169"/>
      <c r="S1169"/>
      <c r="T1169"/>
      <c r="U1169"/>
      <c r="V1169"/>
      <c r="W1169" s="42"/>
      <c r="X1169"/>
      <c r="Y1169"/>
      <c r="Z1169"/>
      <c r="AA1169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38"/>
      <c r="AW1169" s="38" t="s">
        <v>210</v>
      </c>
      <c r="AX1169" s="38"/>
      <c r="AY1169" s="38"/>
      <c r="AZ1169" s="6"/>
      <c r="BA1169" s="38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</row>
    <row r="1170" spans="1:63" s="19" customFormat="1" ht="15" x14ac:dyDescent="0.25">
      <c r="A1170" s="39" t="s">
        <v>808</v>
      </c>
      <c r="B1170" s="97" t="s">
        <v>212</v>
      </c>
      <c r="C1170" s="103" t="s">
        <v>213</v>
      </c>
      <c r="D1170" s="103"/>
      <c r="E1170" s="103"/>
      <c r="F1170" s="103"/>
      <c r="G1170" s="103"/>
      <c r="H1170" s="41" t="s">
        <v>214</v>
      </c>
      <c r="I1170" s="42">
        <v>0.1</v>
      </c>
      <c r="J1170" s="43">
        <v>1</v>
      </c>
      <c r="K1170" s="67">
        <v>0.1</v>
      </c>
      <c r="L1170" s="45"/>
      <c r="M1170" s="42"/>
      <c r="N1170" s="45"/>
      <c r="O1170" s="42"/>
      <c r="P1170" s="46"/>
      <c r="Q1170"/>
      <c r="R1170"/>
      <c r="S1170"/>
      <c r="T1170"/>
      <c r="U1170"/>
      <c r="V1170"/>
      <c r="W1170" s="67">
        <v>0.1</v>
      </c>
      <c r="X1170"/>
      <c r="Y1170"/>
      <c r="Z1170"/>
      <c r="AA1170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38"/>
      <c r="AW1170" s="38"/>
      <c r="AX1170" s="38" t="s">
        <v>213</v>
      </c>
      <c r="AY1170" s="38"/>
      <c r="AZ1170" s="6"/>
      <c r="BA1170" s="38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</row>
    <row r="1171" spans="1:63" s="19" customFormat="1" ht="15" x14ac:dyDescent="0.25">
      <c r="A1171" s="47"/>
      <c r="B1171" s="48"/>
      <c r="C1171" s="102" t="s">
        <v>56</v>
      </c>
      <c r="D1171" s="102"/>
      <c r="E1171" s="102"/>
      <c r="F1171" s="102"/>
      <c r="G1171" s="102"/>
      <c r="H1171" s="41"/>
      <c r="I1171" s="42"/>
      <c r="J1171" s="42"/>
      <c r="K1171" s="42"/>
      <c r="L1171" s="45"/>
      <c r="M1171" s="42"/>
      <c r="N1171" s="49"/>
      <c r="O1171" s="42"/>
      <c r="P1171" s="50">
        <v>442.25549999999998</v>
      </c>
      <c r="Q1171" s="51"/>
      <c r="R1171" s="51"/>
      <c r="S1171"/>
      <c r="T1171">
        <f>T1258</f>
        <v>0</v>
      </c>
      <c r="U1171" s="50">
        <v>384.57</v>
      </c>
      <c r="V1171"/>
      <c r="W1171" s="42"/>
      <c r="X1171"/>
      <c r="Y1171"/>
      <c r="Z1171"/>
      <c r="AA1171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38"/>
      <c r="AW1171" s="38"/>
      <c r="AX1171" s="38"/>
      <c r="AY1171" s="38" t="s">
        <v>56</v>
      </c>
      <c r="AZ1171" s="6"/>
      <c r="BA1171" s="38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</row>
    <row r="1172" spans="1:63" s="19" customFormat="1" ht="15" x14ac:dyDescent="0.25">
      <c r="A1172" s="52"/>
      <c r="B1172" s="53"/>
      <c r="C1172" s="104" t="s">
        <v>57</v>
      </c>
      <c r="D1172" s="104"/>
      <c r="E1172" s="104"/>
      <c r="F1172" s="104"/>
      <c r="G1172" s="104"/>
      <c r="H1172" s="54"/>
      <c r="I1172" s="55"/>
      <c r="J1172" s="55"/>
      <c r="K1172" s="55"/>
      <c r="L1172" s="56"/>
      <c r="M1172" s="55"/>
      <c r="N1172" s="56"/>
      <c r="O1172" s="55"/>
      <c r="P1172" s="77">
        <v>389.29799999999994</v>
      </c>
      <c r="Q1172"/>
      <c r="R1172"/>
      <c r="S1172"/>
      <c r="T1172">
        <f>T1258</f>
        <v>0</v>
      </c>
      <c r="U1172" s="65">
        <v>338.52</v>
      </c>
      <c r="V1172"/>
      <c r="W1172" s="55"/>
      <c r="X1172"/>
      <c r="Y1172"/>
      <c r="Z1172"/>
      <c r="AA1172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38"/>
      <c r="AW1172" s="38"/>
      <c r="AX1172" s="38"/>
      <c r="AY1172" s="38"/>
      <c r="AZ1172" s="6" t="s">
        <v>57</v>
      </c>
      <c r="BA1172" s="38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</row>
    <row r="1173" spans="1:63" s="19" customFormat="1" ht="34.5" x14ac:dyDescent="0.25">
      <c r="A1173" s="52"/>
      <c r="B1173" s="53" t="s">
        <v>215</v>
      </c>
      <c r="C1173" s="104" t="s">
        <v>216</v>
      </c>
      <c r="D1173" s="104"/>
      <c r="E1173" s="104"/>
      <c r="F1173" s="104"/>
      <c r="G1173" s="104"/>
      <c r="H1173" s="54" t="s">
        <v>60</v>
      </c>
      <c r="I1173" s="58">
        <v>121</v>
      </c>
      <c r="J1173" s="55"/>
      <c r="K1173" s="58">
        <v>121</v>
      </c>
      <c r="L1173" s="56"/>
      <c r="M1173" s="55"/>
      <c r="N1173" s="56"/>
      <c r="O1173" s="55"/>
      <c r="P1173" s="77">
        <v>471.05149999999998</v>
      </c>
      <c r="Q1173"/>
      <c r="R1173"/>
      <c r="S1173"/>
      <c r="T1173">
        <f>T1258</f>
        <v>0</v>
      </c>
      <c r="U1173" s="65">
        <v>409.61</v>
      </c>
      <c r="V1173"/>
      <c r="W1173" s="58">
        <v>121</v>
      </c>
      <c r="X1173"/>
      <c r="Y1173"/>
      <c r="Z1173"/>
      <c r="AA1173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38"/>
      <c r="AW1173" s="38"/>
      <c r="AX1173" s="38"/>
      <c r="AY1173" s="38"/>
      <c r="AZ1173" s="6" t="s">
        <v>216</v>
      </c>
      <c r="BA1173" s="38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</row>
    <row r="1174" spans="1:63" s="19" customFormat="1" ht="34.5" x14ac:dyDescent="0.25">
      <c r="A1174" s="52"/>
      <c r="B1174" s="53" t="s">
        <v>217</v>
      </c>
      <c r="C1174" s="104" t="s">
        <v>218</v>
      </c>
      <c r="D1174" s="104"/>
      <c r="E1174" s="104"/>
      <c r="F1174" s="104"/>
      <c r="G1174" s="104"/>
      <c r="H1174" s="54" t="s">
        <v>60</v>
      </c>
      <c r="I1174" s="58">
        <v>72</v>
      </c>
      <c r="J1174" s="55"/>
      <c r="K1174" s="58">
        <v>72</v>
      </c>
      <c r="L1174" s="56"/>
      <c r="M1174" s="55"/>
      <c r="N1174" s="56"/>
      <c r="O1174" s="55"/>
      <c r="P1174" s="77">
        <v>280.28949999999998</v>
      </c>
      <c r="Q1174"/>
      <c r="R1174"/>
      <c r="S1174"/>
      <c r="T1174">
        <f>T1258</f>
        <v>0</v>
      </c>
      <c r="U1174" s="65">
        <v>243.73</v>
      </c>
      <c r="V1174"/>
      <c r="W1174" s="58">
        <v>72</v>
      </c>
      <c r="X1174"/>
      <c r="Y1174"/>
      <c r="Z1174"/>
      <c r="AA1174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38"/>
      <c r="AW1174" s="38"/>
      <c r="AX1174" s="38"/>
      <c r="AY1174" s="38"/>
      <c r="AZ1174" s="6" t="s">
        <v>218</v>
      </c>
      <c r="BA1174" s="38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</row>
    <row r="1175" spans="1:63" s="19" customFormat="1" ht="15" x14ac:dyDescent="0.25">
      <c r="A1175" s="59"/>
      <c r="B1175" s="98"/>
      <c r="C1175" s="102" t="s">
        <v>63</v>
      </c>
      <c r="D1175" s="102"/>
      <c r="E1175" s="102"/>
      <c r="F1175" s="102"/>
      <c r="G1175" s="102"/>
      <c r="H1175" s="41"/>
      <c r="I1175" s="42"/>
      <c r="J1175" s="42"/>
      <c r="K1175" s="42"/>
      <c r="L1175" s="45"/>
      <c r="M1175" s="42"/>
      <c r="N1175" s="49">
        <v>10379.1</v>
      </c>
      <c r="O1175" s="42"/>
      <c r="P1175" s="50">
        <v>1193.5965000000001</v>
      </c>
      <c r="Q1175"/>
      <c r="R1175"/>
      <c r="S1175"/>
      <c r="T1175">
        <f>T1258</f>
        <v>0</v>
      </c>
      <c r="U1175" s="50">
        <f>1037.91*(K1170/W1170)</f>
        <v>1037.9100000000001</v>
      </c>
      <c r="V1175"/>
      <c r="W1175" s="42"/>
      <c r="X1175"/>
      <c r="Y1175"/>
      <c r="Z1175"/>
      <c r="AA1175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38"/>
      <c r="AW1175" s="38"/>
      <c r="AX1175" s="38"/>
      <c r="AY1175" s="38"/>
      <c r="AZ1175" s="6"/>
      <c r="BA1175" s="38" t="s">
        <v>63</v>
      </c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</row>
    <row r="1176" spans="1:63" s="19" customFormat="1" ht="34.5" x14ac:dyDescent="0.25">
      <c r="A1176" s="39" t="s">
        <v>809</v>
      </c>
      <c r="B1176" s="97" t="s">
        <v>220</v>
      </c>
      <c r="C1176" s="103" t="s">
        <v>221</v>
      </c>
      <c r="D1176" s="103"/>
      <c r="E1176" s="103"/>
      <c r="F1176" s="103"/>
      <c r="G1176" s="103"/>
      <c r="H1176" s="41" t="s">
        <v>222</v>
      </c>
      <c r="I1176" s="42">
        <v>1</v>
      </c>
      <c r="J1176" s="43">
        <v>1</v>
      </c>
      <c r="K1176" s="43">
        <v>1</v>
      </c>
      <c r="L1176" s="49">
        <v>8514.9500000000007</v>
      </c>
      <c r="M1176" s="62">
        <v>1.17</v>
      </c>
      <c r="N1176" s="49">
        <v>9962.49</v>
      </c>
      <c r="O1176" s="42"/>
      <c r="P1176" s="50">
        <v>11456.863499999999</v>
      </c>
      <c r="Q1176"/>
      <c r="R1176"/>
      <c r="S1176"/>
      <c r="T1176">
        <f>T1258</f>
        <v>0</v>
      </c>
      <c r="U1176" s="50">
        <f>U1177</f>
        <v>9962.49</v>
      </c>
      <c r="V1176"/>
      <c r="W1176" s="43">
        <v>1</v>
      </c>
      <c r="X1176"/>
      <c r="Y1176"/>
      <c r="Z1176"/>
      <c r="AA117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38"/>
      <c r="AW1176" s="38"/>
      <c r="AX1176" s="38" t="s">
        <v>221</v>
      </c>
      <c r="AY1176" s="38"/>
      <c r="AZ1176" s="6"/>
      <c r="BA1176" s="38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</row>
    <row r="1177" spans="1:63" s="19" customFormat="1" ht="15" x14ac:dyDescent="0.25">
      <c r="A1177" s="59"/>
      <c r="B1177" s="98"/>
      <c r="C1177" s="102" t="s">
        <v>63</v>
      </c>
      <c r="D1177" s="102"/>
      <c r="E1177" s="102"/>
      <c r="F1177" s="102"/>
      <c r="G1177" s="102"/>
      <c r="H1177" s="41"/>
      <c r="I1177" s="42"/>
      <c r="J1177" s="42"/>
      <c r="K1177" s="42"/>
      <c r="L1177" s="45"/>
      <c r="M1177" s="42"/>
      <c r="N1177" s="45"/>
      <c r="O1177" s="42"/>
      <c r="P1177" s="50">
        <v>11456.863499999999</v>
      </c>
      <c r="Q1177"/>
      <c r="R1177"/>
      <c r="S1177"/>
      <c r="T1177">
        <f>T1258</f>
        <v>0</v>
      </c>
      <c r="U1177" s="50">
        <f>9962.49*(K1176/W1176)</f>
        <v>9962.49</v>
      </c>
      <c r="V1177"/>
      <c r="W1177" s="42"/>
      <c r="X1177"/>
      <c r="Y1177"/>
      <c r="Z1177"/>
      <c r="AA1177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38"/>
      <c r="AW1177" s="38"/>
      <c r="AX1177" s="38"/>
      <c r="AY1177" s="38"/>
      <c r="AZ1177" s="6"/>
      <c r="BA1177" s="38" t="s">
        <v>63</v>
      </c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</row>
    <row r="1178" spans="1:63" s="19" customFormat="1" ht="15" x14ac:dyDescent="0.25">
      <c r="A1178" s="39" t="s">
        <v>810</v>
      </c>
      <c r="B1178" s="97" t="s">
        <v>306</v>
      </c>
      <c r="C1178" s="103" t="s">
        <v>307</v>
      </c>
      <c r="D1178" s="103"/>
      <c r="E1178" s="103"/>
      <c r="F1178" s="103"/>
      <c r="G1178" s="103"/>
      <c r="H1178" s="41" t="s">
        <v>75</v>
      </c>
      <c r="I1178" s="42">
        <v>0.03</v>
      </c>
      <c r="J1178" s="43">
        <v>1</v>
      </c>
      <c r="K1178" s="62">
        <v>0.03</v>
      </c>
      <c r="L1178" s="45"/>
      <c r="M1178" s="42"/>
      <c r="N1178" s="45"/>
      <c r="O1178" s="42"/>
      <c r="P1178" s="50"/>
      <c r="Q1178"/>
      <c r="R1178"/>
      <c r="S1178"/>
      <c r="T1178"/>
      <c r="U1178" s="46"/>
      <c r="V1178"/>
      <c r="W1178" s="62">
        <v>0.03</v>
      </c>
      <c r="X1178"/>
      <c r="Y1178"/>
      <c r="Z1178"/>
      <c r="AA1178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38"/>
      <c r="AW1178" s="38"/>
      <c r="AX1178" s="38" t="s">
        <v>224</v>
      </c>
      <c r="AY1178" s="38"/>
      <c r="AZ1178" s="6"/>
      <c r="BA1178" s="38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</row>
    <row r="1179" spans="1:63" s="19" customFormat="1" ht="15" x14ac:dyDescent="0.25">
      <c r="A1179" s="47"/>
      <c r="B1179" s="48"/>
      <c r="C1179" s="102" t="s">
        <v>56</v>
      </c>
      <c r="D1179" s="102"/>
      <c r="E1179" s="102"/>
      <c r="F1179" s="102"/>
      <c r="G1179" s="102"/>
      <c r="H1179" s="41"/>
      <c r="I1179" s="42"/>
      <c r="J1179" s="42"/>
      <c r="K1179" s="42"/>
      <c r="L1179" s="45"/>
      <c r="M1179" s="42"/>
      <c r="N1179" s="49"/>
      <c r="O1179" s="42"/>
      <c r="P1179" s="50">
        <v>3628.2</v>
      </c>
      <c r="Q1179" s="51"/>
      <c r="R1179" s="51"/>
      <c r="S1179"/>
      <c r="T1179">
        <f>T1258</f>
        <v>0</v>
      </c>
      <c r="U1179" s="50">
        <v>3628.2</v>
      </c>
      <c r="V1179"/>
      <c r="W1179" s="42"/>
      <c r="X1179"/>
      <c r="Y1179"/>
      <c r="Z1179"/>
      <c r="AA1179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38"/>
      <c r="AW1179" s="38"/>
      <c r="AX1179" s="38"/>
      <c r="AY1179" s="38" t="s">
        <v>56</v>
      </c>
      <c r="AZ1179" s="6"/>
      <c r="BA1179" s="38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</row>
    <row r="1180" spans="1:63" s="19" customFormat="1" ht="15" x14ac:dyDescent="0.25">
      <c r="A1180" s="52"/>
      <c r="B1180" s="53"/>
      <c r="C1180" s="104" t="s">
        <v>57</v>
      </c>
      <c r="D1180" s="104"/>
      <c r="E1180" s="104"/>
      <c r="F1180" s="104"/>
      <c r="G1180" s="104"/>
      <c r="H1180" s="54"/>
      <c r="I1180" s="55"/>
      <c r="J1180" s="55"/>
      <c r="K1180" s="55"/>
      <c r="L1180" s="56"/>
      <c r="M1180" s="55"/>
      <c r="N1180" s="56"/>
      <c r="O1180" s="55"/>
      <c r="P1180" s="77"/>
      <c r="Q1180"/>
      <c r="R1180"/>
      <c r="S1180"/>
      <c r="T1180">
        <f>T1258</f>
        <v>0</v>
      </c>
      <c r="U1180" s="57">
        <v>14372.62</v>
      </c>
      <c r="V1180"/>
      <c r="W1180" s="55"/>
      <c r="X1180"/>
      <c r="Y1180"/>
      <c r="Z1180"/>
      <c r="AA1180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38"/>
      <c r="AW1180" s="38"/>
      <c r="AX1180" s="38"/>
      <c r="AY1180" s="38"/>
      <c r="AZ1180" s="6" t="s">
        <v>57</v>
      </c>
      <c r="BA1180" s="38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</row>
    <row r="1181" spans="1:63" s="19" customFormat="1" ht="34.5" x14ac:dyDescent="0.25">
      <c r="A1181" s="52"/>
      <c r="B1181" s="53" t="s">
        <v>225</v>
      </c>
      <c r="C1181" s="104" t="s">
        <v>226</v>
      </c>
      <c r="D1181" s="104"/>
      <c r="E1181" s="104"/>
      <c r="F1181" s="104"/>
      <c r="G1181" s="104"/>
      <c r="H1181" s="54" t="s">
        <v>60</v>
      </c>
      <c r="I1181" s="58">
        <v>103</v>
      </c>
      <c r="J1181" s="55"/>
      <c r="K1181" s="58">
        <v>103</v>
      </c>
      <c r="L1181" s="56"/>
      <c r="M1181" s="55"/>
      <c r="N1181" s="56"/>
      <c r="O1181" s="55"/>
      <c r="P1181" s="77"/>
      <c r="Q1181"/>
      <c r="R1181"/>
      <c r="S1181"/>
      <c r="T1181">
        <f>T1258</f>
        <v>0</v>
      </c>
      <c r="U1181" s="57">
        <v>14803.8</v>
      </c>
      <c r="V1181"/>
      <c r="W1181" s="58">
        <v>103</v>
      </c>
      <c r="X1181"/>
      <c r="Y1181"/>
      <c r="Z1181"/>
      <c r="AA1181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38"/>
      <c r="AW1181" s="38"/>
      <c r="AX1181" s="38"/>
      <c r="AY1181" s="38"/>
      <c r="AZ1181" s="6" t="s">
        <v>226</v>
      </c>
      <c r="BA1181" s="38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</row>
    <row r="1182" spans="1:63" s="19" customFormat="1" ht="34.5" x14ac:dyDescent="0.25">
      <c r="A1182" s="52"/>
      <c r="B1182" s="53" t="s">
        <v>227</v>
      </c>
      <c r="C1182" s="104" t="s">
        <v>228</v>
      </c>
      <c r="D1182" s="104"/>
      <c r="E1182" s="104"/>
      <c r="F1182" s="104"/>
      <c r="G1182" s="104"/>
      <c r="H1182" s="54" t="s">
        <v>60</v>
      </c>
      <c r="I1182" s="58">
        <v>52</v>
      </c>
      <c r="J1182" s="55"/>
      <c r="K1182" s="58">
        <v>52</v>
      </c>
      <c r="L1182" s="56"/>
      <c r="M1182" s="55"/>
      <c r="N1182" s="56"/>
      <c r="O1182" s="55"/>
      <c r="P1182" s="77">
        <v>8594.8239999999987</v>
      </c>
      <c r="Q1182"/>
      <c r="R1182"/>
      <c r="S1182"/>
      <c r="T1182">
        <f>T1258</f>
        <v>0</v>
      </c>
      <c r="U1182" s="57">
        <v>7473.76</v>
      </c>
      <c r="V1182"/>
      <c r="W1182" s="58">
        <v>52</v>
      </c>
      <c r="X1182"/>
      <c r="Y1182"/>
      <c r="Z1182"/>
      <c r="AA1182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38"/>
      <c r="AW1182" s="38"/>
      <c r="AX1182" s="38"/>
      <c r="AY1182" s="38"/>
      <c r="AZ1182" s="6" t="s">
        <v>228</v>
      </c>
      <c r="BA1182" s="38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</row>
    <row r="1183" spans="1:63" s="19" customFormat="1" ht="15" x14ac:dyDescent="0.25">
      <c r="A1183" s="59"/>
      <c r="B1183" s="98"/>
      <c r="C1183" s="102" t="s">
        <v>63</v>
      </c>
      <c r="D1183" s="102"/>
      <c r="E1183" s="102"/>
      <c r="F1183" s="102"/>
      <c r="G1183" s="102"/>
      <c r="H1183" s="41"/>
      <c r="I1183" s="42"/>
      <c r="J1183" s="42"/>
      <c r="K1183" s="42"/>
      <c r="L1183" s="45"/>
      <c r="M1183" s="42"/>
      <c r="N1183" s="49">
        <v>1837308.5</v>
      </c>
      <c r="O1183" s="42"/>
      <c r="P1183" s="50">
        <v>10884.599999999999</v>
      </c>
      <c r="Q1183"/>
      <c r="R1183"/>
      <c r="S1183"/>
      <c r="T1183">
        <f>T1258</f>
        <v>0</v>
      </c>
      <c r="U1183" s="50">
        <f>10884.6*(K1178/W1178)</f>
        <v>10884.6</v>
      </c>
      <c r="V1183"/>
      <c r="W1183" s="42"/>
      <c r="X1183"/>
      <c r="Y1183"/>
      <c r="Z1183"/>
      <c r="AA1183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38"/>
      <c r="AW1183" s="38"/>
      <c r="AX1183" s="38"/>
      <c r="AY1183" s="38"/>
      <c r="AZ1183" s="6"/>
      <c r="BA1183" s="38" t="s">
        <v>63</v>
      </c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</row>
    <row r="1184" spans="1:63" s="19" customFormat="1" ht="23.25" x14ac:dyDescent="0.25">
      <c r="A1184" s="39" t="s">
        <v>811</v>
      </c>
      <c r="B1184" s="97" t="s">
        <v>230</v>
      </c>
      <c r="C1184" s="105" t="s">
        <v>310</v>
      </c>
      <c r="D1184" s="105"/>
      <c r="E1184" s="105"/>
      <c r="F1184" s="105"/>
      <c r="G1184" s="105"/>
      <c r="H1184" s="41" t="s">
        <v>222</v>
      </c>
      <c r="I1184" s="42">
        <v>3</v>
      </c>
      <c r="J1184" s="43">
        <v>1</v>
      </c>
      <c r="K1184" s="43">
        <v>3</v>
      </c>
      <c r="L1184" s="49">
        <v>3432.22</v>
      </c>
      <c r="M1184" s="67">
        <v>1.3</v>
      </c>
      <c r="N1184" s="49">
        <v>4461.8900000000003</v>
      </c>
      <c r="O1184" s="42"/>
      <c r="P1184" s="50">
        <f>15393.5205+7500</f>
        <v>22893.520499999999</v>
      </c>
      <c r="Q1184"/>
      <c r="R1184"/>
      <c r="S1184"/>
      <c r="T1184">
        <f>T1258</f>
        <v>0</v>
      </c>
      <c r="U1184" s="50">
        <f>U1185</f>
        <v>13385.670000000002</v>
      </c>
      <c r="V1184"/>
      <c r="W1184" s="43">
        <v>2</v>
      </c>
      <c r="X1184"/>
      <c r="Y1184"/>
      <c r="Z1184"/>
      <c r="AA1184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38"/>
      <c r="AW1184" s="38"/>
      <c r="AX1184" s="38" t="s">
        <v>231</v>
      </c>
      <c r="AY1184" s="38"/>
      <c r="AZ1184" s="6"/>
      <c r="BA1184" s="38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</row>
    <row r="1185" spans="1:63" s="19" customFormat="1" ht="15" x14ac:dyDescent="0.25">
      <c r="A1185" s="59"/>
      <c r="B1185" s="98"/>
      <c r="C1185" s="106" t="s">
        <v>63</v>
      </c>
      <c r="D1185" s="106"/>
      <c r="E1185" s="106"/>
      <c r="F1185" s="106"/>
      <c r="G1185" s="106"/>
      <c r="H1185" s="41"/>
      <c r="I1185" s="42"/>
      <c r="J1185" s="42"/>
      <c r="K1185" s="42"/>
      <c r="L1185" s="45"/>
      <c r="M1185" s="42"/>
      <c r="N1185" s="45"/>
      <c r="O1185" s="42"/>
      <c r="P1185" s="50">
        <f>P1184</f>
        <v>22893.520499999999</v>
      </c>
      <c r="Q1185"/>
      <c r="R1185"/>
      <c r="S1185"/>
      <c r="T1185">
        <f>T1258</f>
        <v>0</v>
      </c>
      <c r="U1185" s="50">
        <f>8923.78*(K1184/W1184)</f>
        <v>13385.670000000002</v>
      </c>
      <c r="V1185"/>
      <c r="W1185" s="42"/>
      <c r="X1185"/>
      <c r="Y1185"/>
      <c r="Z1185"/>
      <c r="AA1185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38"/>
      <c r="AW1185" s="38"/>
      <c r="AX1185" s="38"/>
      <c r="AY1185" s="38"/>
      <c r="AZ1185" s="6"/>
      <c r="BA1185" s="38" t="s">
        <v>63</v>
      </c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</row>
    <row r="1186" spans="1:63" s="19" customFormat="1" ht="15" x14ac:dyDescent="0.25">
      <c r="A1186" s="39" t="s">
        <v>812</v>
      </c>
      <c r="B1186" s="97" t="s">
        <v>233</v>
      </c>
      <c r="C1186" s="103" t="s">
        <v>234</v>
      </c>
      <c r="D1186" s="103"/>
      <c r="E1186" s="103"/>
      <c r="F1186" s="103"/>
      <c r="G1186" s="103"/>
      <c r="H1186" s="41" t="s">
        <v>75</v>
      </c>
      <c r="I1186" s="42">
        <v>0.03</v>
      </c>
      <c r="J1186" s="43">
        <v>1</v>
      </c>
      <c r="K1186" s="62">
        <v>0.03</v>
      </c>
      <c r="L1186" s="45"/>
      <c r="M1186" s="42"/>
      <c r="N1186" s="45"/>
      <c r="O1186" s="42"/>
      <c r="P1186" s="50"/>
      <c r="Q1186"/>
      <c r="R1186"/>
      <c r="S1186"/>
      <c r="T1186"/>
      <c r="U1186" s="46"/>
      <c r="V1186"/>
      <c r="W1186" s="62">
        <v>0.02</v>
      </c>
      <c r="X1186"/>
      <c r="Y1186"/>
      <c r="Z1186"/>
      <c r="AA118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38"/>
      <c r="AW1186" s="38"/>
      <c r="AX1186" s="38" t="s">
        <v>234</v>
      </c>
      <c r="AY1186" s="38"/>
      <c r="AZ1186" s="6"/>
      <c r="BA1186" s="38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</row>
    <row r="1187" spans="1:63" s="19" customFormat="1" ht="15" x14ac:dyDescent="0.25">
      <c r="A1187" s="47"/>
      <c r="B1187" s="48"/>
      <c r="C1187" s="102" t="s">
        <v>56</v>
      </c>
      <c r="D1187" s="102"/>
      <c r="E1187" s="102"/>
      <c r="F1187" s="102"/>
      <c r="G1187" s="102"/>
      <c r="H1187" s="41"/>
      <c r="I1187" s="42"/>
      <c r="J1187" s="42"/>
      <c r="K1187" s="42"/>
      <c r="L1187" s="45"/>
      <c r="M1187" s="42"/>
      <c r="N1187" s="49"/>
      <c r="O1187" s="42"/>
      <c r="P1187" s="50">
        <v>951.78599999999994</v>
      </c>
      <c r="Q1187" s="51"/>
      <c r="R1187" s="51"/>
      <c r="S1187"/>
      <c r="T1187">
        <f>T1258</f>
        <v>0</v>
      </c>
      <c r="U1187" s="50">
        <v>827.64</v>
      </c>
      <c r="V1187"/>
      <c r="W1187" s="42"/>
      <c r="X1187"/>
      <c r="Y1187"/>
      <c r="Z1187"/>
      <c r="AA1187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38"/>
      <c r="AW1187" s="38"/>
      <c r="AX1187" s="38"/>
      <c r="AY1187" s="38" t="s">
        <v>56</v>
      </c>
      <c r="AZ1187" s="6"/>
      <c r="BA1187" s="38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</row>
    <row r="1188" spans="1:63" s="19" customFormat="1" ht="15" x14ac:dyDescent="0.25">
      <c r="A1188" s="52"/>
      <c r="B1188" s="53"/>
      <c r="C1188" s="104" t="s">
        <v>57</v>
      </c>
      <c r="D1188" s="104"/>
      <c r="E1188" s="104"/>
      <c r="F1188" s="104"/>
      <c r="G1188" s="104"/>
      <c r="H1188" s="54"/>
      <c r="I1188" s="55"/>
      <c r="J1188" s="55"/>
      <c r="K1188" s="55"/>
      <c r="L1188" s="56"/>
      <c r="M1188" s="55"/>
      <c r="N1188" s="56"/>
      <c r="O1188" s="55"/>
      <c r="P1188" s="77">
        <v>652.09599999999989</v>
      </c>
      <c r="Q1188"/>
      <c r="R1188"/>
      <c r="S1188"/>
      <c r="T1188">
        <f>T1258</f>
        <v>0</v>
      </c>
      <c r="U1188" s="65">
        <v>567.04</v>
      </c>
      <c r="V1188"/>
      <c r="W1188" s="55"/>
      <c r="X1188"/>
      <c r="Y1188"/>
      <c r="Z1188"/>
      <c r="AA1188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38"/>
      <c r="AW1188" s="38"/>
      <c r="AX1188" s="38"/>
      <c r="AY1188" s="38"/>
      <c r="AZ1188" s="6" t="s">
        <v>57</v>
      </c>
      <c r="BA1188" s="38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</row>
    <row r="1189" spans="1:63" s="19" customFormat="1" ht="34.5" x14ac:dyDescent="0.25">
      <c r="A1189" s="52"/>
      <c r="B1189" s="53" t="s">
        <v>225</v>
      </c>
      <c r="C1189" s="104" t="s">
        <v>226</v>
      </c>
      <c r="D1189" s="104"/>
      <c r="E1189" s="104"/>
      <c r="F1189" s="104"/>
      <c r="G1189" s="104"/>
      <c r="H1189" s="54" t="s">
        <v>60</v>
      </c>
      <c r="I1189" s="58">
        <v>103</v>
      </c>
      <c r="J1189" s="55"/>
      <c r="K1189" s="58">
        <v>103</v>
      </c>
      <c r="L1189" s="56"/>
      <c r="M1189" s="55"/>
      <c r="N1189" s="56"/>
      <c r="O1189" s="55"/>
      <c r="P1189" s="77">
        <v>671.65749999999991</v>
      </c>
      <c r="Q1189"/>
      <c r="R1189"/>
      <c r="S1189"/>
      <c r="T1189">
        <f>T1258</f>
        <v>0</v>
      </c>
      <c r="U1189" s="65">
        <v>584.04999999999995</v>
      </c>
      <c r="V1189"/>
      <c r="W1189" s="58">
        <v>103</v>
      </c>
      <c r="X1189"/>
      <c r="Y1189"/>
      <c r="Z1189"/>
      <c r="AA1189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38"/>
      <c r="AW1189" s="38"/>
      <c r="AX1189" s="38"/>
      <c r="AY1189" s="38"/>
      <c r="AZ1189" s="6" t="s">
        <v>226</v>
      </c>
      <c r="BA1189" s="38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</row>
    <row r="1190" spans="1:63" s="19" customFormat="1" ht="34.5" x14ac:dyDescent="0.25">
      <c r="A1190" s="52"/>
      <c r="B1190" s="53" t="s">
        <v>227</v>
      </c>
      <c r="C1190" s="104" t="s">
        <v>228</v>
      </c>
      <c r="D1190" s="104"/>
      <c r="E1190" s="104"/>
      <c r="F1190" s="104"/>
      <c r="G1190" s="104"/>
      <c r="H1190" s="54" t="s">
        <v>60</v>
      </c>
      <c r="I1190" s="58">
        <v>52</v>
      </c>
      <c r="J1190" s="55"/>
      <c r="K1190" s="58">
        <v>52</v>
      </c>
      <c r="L1190" s="56"/>
      <c r="M1190" s="55"/>
      <c r="N1190" s="56"/>
      <c r="O1190" s="55"/>
      <c r="P1190" s="77">
        <v>339.089</v>
      </c>
      <c r="Q1190"/>
      <c r="R1190"/>
      <c r="S1190"/>
      <c r="T1190">
        <f>T1258</f>
        <v>0</v>
      </c>
      <c r="U1190" s="65">
        <v>294.86</v>
      </c>
      <c r="V1190"/>
      <c r="W1190" s="58">
        <v>52</v>
      </c>
      <c r="X1190"/>
      <c r="Y1190"/>
      <c r="Z1190"/>
      <c r="AA1190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38"/>
      <c r="AW1190" s="38"/>
      <c r="AX1190" s="38"/>
      <c r="AY1190" s="38"/>
      <c r="AZ1190" s="6" t="s">
        <v>228</v>
      </c>
      <c r="BA1190" s="38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</row>
    <row r="1191" spans="1:63" s="19" customFormat="1" ht="15" x14ac:dyDescent="0.25">
      <c r="A1191" s="59"/>
      <c r="B1191" s="98"/>
      <c r="C1191" s="102" t="s">
        <v>63</v>
      </c>
      <c r="D1191" s="102"/>
      <c r="E1191" s="102"/>
      <c r="F1191" s="102"/>
      <c r="G1191" s="102"/>
      <c r="H1191" s="41"/>
      <c r="I1191" s="42"/>
      <c r="J1191" s="42"/>
      <c r="K1191" s="42"/>
      <c r="L1191" s="45"/>
      <c r="M1191" s="42"/>
      <c r="N1191" s="49">
        <v>85327.5</v>
      </c>
      <c r="O1191" s="42"/>
      <c r="P1191" s="50">
        <f>2943.79875+1940.78</f>
        <v>4884.5787499999997</v>
      </c>
      <c r="Q1191"/>
      <c r="R1191"/>
      <c r="S1191"/>
      <c r="T1191">
        <f>T1258</f>
        <v>0</v>
      </c>
      <c r="U1191" s="50">
        <f>1706.55*(K1186/W1186)</f>
        <v>2559.8249999999998</v>
      </c>
      <c r="V1191"/>
      <c r="W1191" s="42"/>
      <c r="X1191"/>
      <c r="Y1191"/>
      <c r="Z1191"/>
      <c r="AA1191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38"/>
      <c r="AW1191" s="38"/>
      <c r="AX1191" s="38"/>
      <c r="AY1191" s="38"/>
      <c r="AZ1191" s="6"/>
      <c r="BA1191" s="38" t="s">
        <v>63</v>
      </c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</row>
    <row r="1192" spans="1:63" s="19" customFormat="1" ht="23.25" x14ac:dyDescent="0.25">
      <c r="A1192" s="39" t="s">
        <v>813</v>
      </c>
      <c r="B1192" s="97" t="s">
        <v>236</v>
      </c>
      <c r="C1192" s="103" t="s">
        <v>237</v>
      </c>
      <c r="D1192" s="103"/>
      <c r="E1192" s="103"/>
      <c r="F1192" s="103"/>
      <c r="G1192" s="103"/>
      <c r="H1192" s="41" t="s">
        <v>222</v>
      </c>
      <c r="I1192" s="42">
        <v>3</v>
      </c>
      <c r="J1192" s="43">
        <v>1</v>
      </c>
      <c r="K1192" s="43">
        <v>3</v>
      </c>
      <c r="L1192" s="61">
        <v>237.33</v>
      </c>
      <c r="M1192" s="62">
        <v>1.1299999999999999</v>
      </c>
      <c r="N1192" s="61">
        <v>268.18</v>
      </c>
      <c r="O1192" s="42"/>
      <c r="P1192" s="50">
        <v>925.22099999999989</v>
      </c>
      <c r="Q1192"/>
      <c r="R1192"/>
      <c r="S1192"/>
      <c r="T1192">
        <f>T1258</f>
        <v>0</v>
      </c>
      <c r="U1192" s="63">
        <f>U1193</f>
        <v>804.54</v>
      </c>
      <c r="V1192"/>
      <c r="W1192" s="43">
        <v>2</v>
      </c>
      <c r="X1192"/>
      <c r="Y1192"/>
      <c r="Z1192"/>
      <c r="AA1192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38"/>
      <c r="AW1192" s="38"/>
      <c r="AX1192" s="38" t="s">
        <v>237</v>
      </c>
      <c r="AY1192" s="38"/>
      <c r="AZ1192" s="6"/>
      <c r="BA1192" s="38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</row>
    <row r="1193" spans="1:63" s="19" customFormat="1" ht="15" x14ac:dyDescent="0.25">
      <c r="A1193" s="59"/>
      <c r="B1193" s="98"/>
      <c r="C1193" s="102" t="s">
        <v>63</v>
      </c>
      <c r="D1193" s="102"/>
      <c r="E1193" s="102"/>
      <c r="F1193" s="102"/>
      <c r="G1193" s="102"/>
      <c r="H1193" s="41"/>
      <c r="I1193" s="42"/>
      <c r="J1193" s="42"/>
      <c r="K1193" s="42"/>
      <c r="L1193" s="45"/>
      <c r="M1193" s="42"/>
      <c r="N1193" s="45"/>
      <c r="O1193" s="42"/>
      <c r="P1193" s="50">
        <v>925.22099999999989</v>
      </c>
      <c r="Q1193"/>
      <c r="R1193"/>
      <c r="S1193"/>
      <c r="T1193">
        <f>T1258</f>
        <v>0</v>
      </c>
      <c r="U1193" s="63">
        <f>536.36*(K1192/W1192)</f>
        <v>804.54</v>
      </c>
      <c r="V1193"/>
      <c r="W1193" s="42"/>
      <c r="X1193"/>
      <c r="Y1193"/>
      <c r="Z1193"/>
      <c r="AA1193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38"/>
      <c r="AW1193" s="38"/>
      <c r="AX1193" s="38"/>
      <c r="AY1193" s="38"/>
      <c r="AZ1193" s="6"/>
      <c r="BA1193" s="38" t="s">
        <v>63</v>
      </c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</row>
    <row r="1194" spans="1:63" s="19" customFormat="1" ht="23.25" x14ac:dyDescent="0.25">
      <c r="A1194" s="39" t="s">
        <v>814</v>
      </c>
      <c r="B1194" s="97" t="s">
        <v>239</v>
      </c>
      <c r="C1194" s="103" t="s">
        <v>240</v>
      </c>
      <c r="D1194" s="103"/>
      <c r="E1194" s="103"/>
      <c r="F1194" s="103"/>
      <c r="G1194" s="103"/>
      <c r="H1194" s="41" t="s">
        <v>125</v>
      </c>
      <c r="I1194" s="42">
        <v>0.02</v>
      </c>
      <c r="J1194" s="43">
        <v>1</v>
      </c>
      <c r="K1194" s="62">
        <v>0.02</v>
      </c>
      <c r="L1194" s="45"/>
      <c r="M1194" s="42"/>
      <c r="N1194" s="45"/>
      <c r="O1194" s="42"/>
      <c r="P1194" s="50"/>
      <c r="Q1194"/>
      <c r="R1194"/>
      <c r="S1194"/>
      <c r="T1194"/>
      <c r="U1194" s="46"/>
      <c r="V1194"/>
      <c r="W1194" s="62">
        <v>0.02</v>
      </c>
      <c r="X1194"/>
      <c r="Y1194"/>
      <c r="Z1194"/>
      <c r="AA1194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38"/>
      <c r="AW1194" s="38"/>
      <c r="AX1194" s="38" t="s">
        <v>240</v>
      </c>
      <c r="AY1194" s="38"/>
      <c r="AZ1194" s="6"/>
      <c r="BA1194" s="38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</row>
    <row r="1195" spans="1:63" s="19" customFormat="1" ht="15" x14ac:dyDescent="0.25">
      <c r="A1195" s="47"/>
      <c r="B1195" s="48"/>
      <c r="C1195" s="102" t="s">
        <v>56</v>
      </c>
      <c r="D1195" s="102"/>
      <c r="E1195" s="102"/>
      <c r="F1195" s="102"/>
      <c r="G1195" s="102"/>
      <c r="H1195" s="41"/>
      <c r="I1195" s="42"/>
      <c r="J1195" s="42"/>
      <c r="K1195" s="42"/>
      <c r="L1195" s="45"/>
      <c r="M1195" s="42"/>
      <c r="N1195" s="49"/>
      <c r="O1195" s="42"/>
      <c r="P1195" s="50">
        <v>559.98099999999999</v>
      </c>
      <c r="Q1195" s="51"/>
      <c r="R1195" s="51"/>
      <c r="S1195"/>
      <c r="T1195">
        <f>T1258</f>
        <v>0</v>
      </c>
      <c r="U1195" s="50">
        <v>486.94</v>
      </c>
      <c r="V1195"/>
      <c r="W1195" s="42"/>
      <c r="X1195"/>
      <c r="Y1195"/>
      <c r="Z1195"/>
      <c r="AA1195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38"/>
      <c r="AW1195" s="38"/>
      <c r="AX1195" s="38"/>
      <c r="AY1195" s="38" t="s">
        <v>56</v>
      </c>
      <c r="AZ1195" s="6"/>
      <c r="BA1195" s="38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</row>
    <row r="1196" spans="1:63" s="19" customFormat="1" ht="15" x14ac:dyDescent="0.25">
      <c r="A1196" s="52"/>
      <c r="B1196" s="53"/>
      <c r="C1196" s="104" t="s">
        <v>57</v>
      </c>
      <c r="D1196" s="104"/>
      <c r="E1196" s="104"/>
      <c r="F1196" s="104"/>
      <c r="G1196" s="104"/>
      <c r="H1196" s="54"/>
      <c r="I1196" s="55"/>
      <c r="J1196" s="55"/>
      <c r="K1196" s="55"/>
      <c r="L1196" s="56"/>
      <c r="M1196" s="55"/>
      <c r="N1196" s="56"/>
      <c r="O1196" s="55"/>
      <c r="P1196" s="77">
        <v>549.83799999999997</v>
      </c>
      <c r="Q1196"/>
      <c r="R1196"/>
      <c r="S1196"/>
      <c r="T1196">
        <f>T1258</f>
        <v>0</v>
      </c>
      <c r="U1196" s="65">
        <v>478.12</v>
      </c>
      <c r="V1196"/>
      <c r="W1196" s="55"/>
      <c r="X1196"/>
      <c r="Y1196"/>
      <c r="Z1196"/>
      <c r="AA119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38"/>
      <c r="AW1196" s="38"/>
      <c r="AX1196" s="38"/>
      <c r="AY1196" s="38"/>
      <c r="AZ1196" s="6" t="s">
        <v>57</v>
      </c>
      <c r="BA1196" s="38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</row>
    <row r="1197" spans="1:63" s="19" customFormat="1" ht="34.5" x14ac:dyDescent="0.25">
      <c r="A1197" s="52"/>
      <c r="B1197" s="53" t="s">
        <v>215</v>
      </c>
      <c r="C1197" s="104" t="s">
        <v>216</v>
      </c>
      <c r="D1197" s="104"/>
      <c r="E1197" s="104"/>
      <c r="F1197" s="104"/>
      <c r="G1197" s="104"/>
      <c r="H1197" s="54" t="s">
        <v>60</v>
      </c>
      <c r="I1197" s="58">
        <v>121</v>
      </c>
      <c r="J1197" s="55"/>
      <c r="K1197" s="58">
        <v>121</v>
      </c>
      <c r="L1197" s="56"/>
      <c r="M1197" s="55"/>
      <c r="N1197" s="56"/>
      <c r="O1197" s="55"/>
      <c r="P1197" s="77">
        <v>665.30949999999996</v>
      </c>
      <c r="Q1197"/>
      <c r="R1197"/>
      <c r="S1197"/>
      <c r="T1197">
        <f>T1258</f>
        <v>0</v>
      </c>
      <c r="U1197" s="65">
        <v>578.53</v>
      </c>
      <c r="V1197"/>
      <c r="W1197" s="58">
        <v>121</v>
      </c>
      <c r="X1197"/>
      <c r="Y1197"/>
      <c r="Z1197"/>
      <c r="AA1197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38"/>
      <c r="AW1197" s="38"/>
      <c r="AX1197" s="38"/>
      <c r="AY1197" s="38"/>
      <c r="AZ1197" s="6" t="s">
        <v>216</v>
      </c>
      <c r="BA1197" s="38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</row>
    <row r="1198" spans="1:63" s="19" customFormat="1" ht="34.5" x14ac:dyDescent="0.25">
      <c r="A1198" s="52"/>
      <c r="B1198" s="53" t="s">
        <v>217</v>
      </c>
      <c r="C1198" s="104" t="s">
        <v>218</v>
      </c>
      <c r="D1198" s="104"/>
      <c r="E1198" s="104"/>
      <c r="F1198" s="104"/>
      <c r="G1198" s="104"/>
      <c r="H1198" s="54" t="s">
        <v>60</v>
      </c>
      <c r="I1198" s="58">
        <v>72</v>
      </c>
      <c r="J1198" s="55"/>
      <c r="K1198" s="58">
        <v>72</v>
      </c>
      <c r="L1198" s="56"/>
      <c r="M1198" s="55"/>
      <c r="N1198" s="56"/>
      <c r="O1198" s="55"/>
      <c r="P1198" s="77">
        <v>395.88749999999999</v>
      </c>
      <c r="Q1198"/>
      <c r="R1198"/>
      <c r="S1198"/>
      <c r="T1198">
        <f>T1258</f>
        <v>0</v>
      </c>
      <c r="U1198" s="65">
        <v>344.25</v>
      </c>
      <c r="V1198"/>
      <c r="W1198" s="58">
        <v>72</v>
      </c>
      <c r="X1198"/>
      <c r="Y1198"/>
      <c r="Z1198"/>
      <c r="AA1198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38"/>
      <c r="AW1198" s="38"/>
      <c r="AX1198" s="38"/>
      <c r="AY1198" s="38"/>
      <c r="AZ1198" s="6" t="s">
        <v>218</v>
      </c>
      <c r="BA1198" s="38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</row>
    <row r="1199" spans="1:63" s="19" customFormat="1" ht="15" x14ac:dyDescent="0.25">
      <c r="A1199" s="59"/>
      <c r="B1199" s="98"/>
      <c r="C1199" s="102" t="s">
        <v>63</v>
      </c>
      <c r="D1199" s="102"/>
      <c r="E1199" s="102"/>
      <c r="F1199" s="102"/>
      <c r="G1199" s="102"/>
      <c r="H1199" s="41"/>
      <c r="I1199" s="42"/>
      <c r="J1199" s="42"/>
      <c r="K1199" s="42"/>
      <c r="L1199" s="45"/>
      <c r="M1199" s="42"/>
      <c r="N1199" s="49">
        <v>70486</v>
      </c>
      <c r="O1199" s="42"/>
      <c r="P1199" s="50">
        <v>1621.1779999999999</v>
      </c>
      <c r="Q1199"/>
      <c r="R1199"/>
      <c r="S1199"/>
      <c r="T1199">
        <f>T1258</f>
        <v>0</v>
      </c>
      <c r="U1199" s="50">
        <f>1409.72*(K1194/W1194)</f>
        <v>1409.72</v>
      </c>
      <c r="V1199"/>
      <c r="W1199" s="42"/>
      <c r="X1199"/>
      <c r="Y1199"/>
      <c r="Z1199"/>
      <c r="AA1199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38"/>
      <c r="AW1199" s="38"/>
      <c r="AX1199" s="38"/>
      <c r="AY1199" s="38"/>
      <c r="AZ1199" s="6"/>
      <c r="BA1199" s="38" t="s">
        <v>63</v>
      </c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</row>
    <row r="1200" spans="1:63" s="19" customFormat="1" ht="23.25" x14ac:dyDescent="0.25">
      <c r="A1200" s="39" t="s">
        <v>815</v>
      </c>
      <c r="B1200" s="97" t="s">
        <v>242</v>
      </c>
      <c r="C1200" s="103" t="s">
        <v>243</v>
      </c>
      <c r="D1200" s="103"/>
      <c r="E1200" s="103"/>
      <c r="F1200" s="103"/>
      <c r="G1200" s="103"/>
      <c r="H1200" s="41" t="s">
        <v>244</v>
      </c>
      <c r="I1200" s="42">
        <v>1.996</v>
      </c>
      <c r="J1200" s="43">
        <v>1</v>
      </c>
      <c r="K1200" s="66">
        <v>1.996</v>
      </c>
      <c r="L1200" s="61">
        <v>324.68</v>
      </c>
      <c r="M1200" s="62">
        <v>1.01</v>
      </c>
      <c r="N1200" s="61">
        <v>327.93</v>
      </c>
      <c r="O1200" s="42"/>
      <c r="P1200" s="50">
        <v>752.73249999999985</v>
      </c>
      <c r="Q1200"/>
      <c r="R1200"/>
      <c r="S1200"/>
      <c r="T1200">
        <f>T1258</f>
        <v>0</v>
      </c>
      <c r="U1200" s="63">
        <f>U1201</f>
        <v>654.54999999999995</v>
      </c>
      <c r="V1200"/>
      <c r="W1200" s="66">
        <v>1.996</v>
      </c>
      <c r="X1200"/>
      <c r="Y1200"/>
      <c r="Z1200"/>
      <c r="AA1200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38"/>
      <c r="AW1200" s="38"/>
      <c r="AX1200" s="38" t="s">
        <v>243</v>
      </c>
      <c r="AY1200" s="38"/>
      <c r="AZ1200" s="6"/>
      <c r="BA1200" s="38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</row>
    <row r="1201" spans="1:63" s="19" customFormat="1" ht="15" x14ac:dyDescent="0.25">
      <c r="A1201" s="59"/>
      <c r="B1201" s="98"/>
      <c r="C1201" s="102" t="s">
        <v>63</v>
      </c>
      <c r="D1201" s="102"/>
      <c r="E1201" s="102"/>
      <c r="F1201" s="102"/>
      <c r="G1201" s="102"/>
      <c r="H1201" s="41"/>
      <c r="I1201" s="42"/>
      <c r="J1201" s="42"/>
      <c r="K1201" s="42"/>
      <c r="L1201" s="45"/>
      <c r="M1201" s="42"/>
      <c r="N1201" s="45"/>
      <c r="O1201" s="42"/>
      <c r="P1201" s="50">
        <v>752.73249999999985</v>
      </c>
      <c r="Q1201"/>
      <c r="R1201"/>
      <c r="S1201"/>
      <c r="T1201">
        <f>T1258</f>
        <v>0</v>
      </c>
      <c r="U1201" s="63">
        <f>654.55*(K1200/W1200)</f>
        <v>654.54999999999995</v>
      </c>
      <c r="V1201"/>
      <c r="W1201" s="42"/>
      <c r="X1201"/>
      <c r="Y1201"/>
      <c r="Z1201"/>
      <c r="AA1201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38"/>
      <c r="AW1201" s="38"/>
      <c r="AX1201" s="38"/>
      <c r="AY1201" s="38"/>
      <c r="AZ1201" s="6"/>
      <c r="BA1201" s="38" t="s">
        <v>63</v>
      </c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</row>
    <row r="1202" spans="1:63" s="19" customFormat="1" ht="23.25" x14ac:dyDescent="0.25">
      <c r="A1202" s="39" t="s">
        <v>816</v>
      </c>
      <c r="B1202" s="97" t="s">
        <v>246</v>
      </c>
      <c r="C1202" s="103" t="s">
        <v>247</v>
      </c>
      <c r="D1202" s="103"/>
      <c r="E1202" s="103"/>
      <c r="F1202" s="103"/>
      <c r="G1202" s="103"/>
      <c r="H1202" s="41" t="s">
        <v>83</v>
      </c>
      <c r="I1202" s="42">
        <v>1</v>
      </c>
      <c r="J1202" s="43">
        <v>1</v>
      </c>
      <c r="K1202" s="43">
        <v>1</v>
      </c>
      <c r="L1202" s="61">
        <v>111.78</v>
      </c>
      <c r="M1202" s="62">
        <v>1.01</v>
      </c>
      <c r="N1202" s="61">
        <v>112.9</v>
      </c>
      <c r="O1202" s="42"/>
      <c r="P1202" s="50">
        <v>129.83500000000001</v>
      </c>
      <c r="Q1202"/>
      <c r="R1202"/>
      <c r="S1202"/>
      <c r="T1202">
        <f>T1258</f>
        <v>0</v>
      </c>
      <c r="U1202" s="63">
        <f>U1203</f>
        <v>112.9</v>
      </c>
      <c r="V1202"/>
      <c r="W1202" s="43">
        <v>1</v>
      </c>
      <c r="X1202"/>
      <c r="Y1202"/>
      <c r="Z1202"/>
      <c r="AA1202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38"/>
      <c r="AW1202" s="38"/>
      <c r="AX1202" s="38" t="s">
        <v>247</v>
      </c>
      <c r="AY1202" s="38"/>
      <c r="AZ1202" s="6"/>
      <c r="BA1202" s="38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</row>
    <row r="1203" spans="1:63" s="19" customFormat="1" ht="15" x14ac:dyDescent="0.25">
      <c r="A1203" s="59"/>
      <c r="B1203" s="98"/>
      <c r="C1203" s="102" t="s">
        <v>63</v>
      </c>
      <c r="D1203" s="102"/>
      <c r="E1203" s="102"/>
      <c r="F1203" s="102"/>
      <c r="G1203" s="102"/>
      <c r="H1203" s="41"/>
      <c r="I1203" s="42"/>
      <c r="J1203" s="42"/>
      <c r="K1203" s="42"/>
      <c r="L1203" s="45"/>
      <c r="M1203" s="42"/>
      <c r="N1203" s="45"/>
      <c r="O1203" s="42"/>
      <c r="P1203" s="50">
        <v>129.83500000000001</v>
      </c>
      <c r="Q1203"/>
      <c r="R1203"/>
      <c r="S1203"/>
      <c r="T1203">
        <f>T1258</f>
        <v>0</v>
      </c>
      <c r="U1203" s="63">
        <f>112.9*(K1202/W1202)</f>
        <v>112.9</v>
      </c>
      <c r="V1203"/>
      <c r="W1203" s="42"/>
      <c r="X1203"/>
      <c r="Y1203"/>
      <c r="Z1203"/>
      <c r="AA1203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38"/>
      <c r="AW1203" s="38"/>
      <c r="AX1203" s="38"/>
      <c r="AY1203" s="38"/>
      <c r="AZ1203" s="6"/>
      <c r="BA1203" s="38" t="s">
        <v>63</v>
      </c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</row>
    <row r="1204" spans="1:63" s="19" customFormat="1" ht="23.25" x14ac:dyDescent="0.25">
      <c r="A1204" s="39" t="s">
        <v>817</v>
      </c>
      <c r="B1204" s="97" t="s">
        <v>249</v>
      </c>
      <c r="C1204" s="103" t="s">
        <v>250</v>
      </c>
      <c r="D1204" s="103"/>
      <c r="E1204" s="103"/>
      <c r="F1204" s="103"/>
      <c r="G1204" s="103"/>
      <c r="H1204" s="41" t="s">
        <v>83</v>
      </c>
      <c r="I1204" s="42">
        <v>1</v>
      </c>
      <c r="J1204" s="43">
        <v>1</v>
      </c>
      <c r="K1204" s="43">
        <v>1</v>
      </c>
      <c r="L1204" s="61">
        <v>69.52</v>
      </c>
      <c r="M1204" s="62">
        <v>1.01</v>
      </c>
      <c r="N1204" s="61">
        <v>70.22</v>
      </c>
      <c r="O1204" s="42"/>
      <c r="P1204" s="50">
        <v>80.752999999999986</v>
      </c>
      <c r="Q1204"/>
      <c r="R1204"/>
      <c r="S1204"/>
      <c r="T1204">
        <f>T1258</f>
        <v>0</v>
      </c>
      <c r="U1204" s="63">
        <f>U1205</f>
        <v>70.22</v>
      </c>
      <c r="V1204"/>
      <c r="W1204" s="43">
        <v>1</v>
      </c>
      <c r="X1204"/>
      <c r="Y1204"/>
      <c r="Z1204"/>
      <c r="AA1204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38"/>
      <c r="AW1204" s="38"/>
      <c r="AX1204" s="38" t="s">
        <v>250</v>
      </c>
      <c r="AY1204" s="38"/>
      <c r="AZ1204" s="6"/>
      <c r="BA1204" s="38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</row>
    <row r="1205" spans="1:63" s="19" customFormat="1" ht="15" x14ac:dyDescent="0.25">
      <c r="A1205" s="59"/>
      <c r="B1205" s="98"/>
      <c r="C1205" s="102" t="s">
        <v>63</v>
      </c>
      <c r="D1205" s="102"/>
      <c r="E1205" s="102"/>
      <c r="F1205" s="102"/>
      <c r="G1205" s="102"/>
      <c r="H1205" s="41"/>
      <c r="I1205" s="42"/>
      <c r="J1205" s="42"/>
      <c r="K1205" s="42"/>
      <c r="L1205" s="45"/>
      <c r="M1205" s="42"/>
      <c r="N1205" s="45"/>
      <c r="O1205" s="42"/>
      <c r="P1205" s="50">
        <v>80.752999999999986</v>
      </c>
      <c r="Q1205"/>
      <c r="R1205"/>
      <c r="S1205"/>
      <c r="T1205">
        <f>T1258</f>
        <v>0</v>
      </c>
      <c r="U1205" s="63">
        <f>70.22*(K1204/W1204)</f>
        <v>70.22</v>
      </c>
      <c r="V1205"/>
      <c r="W1205" s="42"/>
      <c r="X1205"/>
      <c r="Y1205"/>
      <c r="Z1205"/>
      <c r="AA1205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38"/>
      <c r="AW1205" s="38"/>
      <c r="AX1205" s="38"/>
      <c r="AY1205" s="38"/>
      <c r="AZ1205" s="6"/>
      <c r="BA1205" s="38" t="s">
        <v>63</v>
      </c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</row>
    <row r="1206" spans="1:63" s="19" customFormat="1" ht="23.25" x14ac:dyDescent="0.25">
      <c r="A1206" s="39" t="s">
        <v>818</v>
      </c>
      <c r="B1206" s="97" t="s">
        <v>252</v>
      </c>
      <c r="C1206" s="103" t="s">
        <v>253</v>
      </c>
      <c r="D1206" s="103"/>
      <c r="E1206" s="103"/>
      <c r="F1206" s="103"/>
      <c r="G1206" s="103"/>
      <c r="H1206" s="41" t="s">
        <v>125</v>
      </c>
      <c r="I1206" s="42">
        <v>0.01</v>
      </c>
      <c r="J1206" s="43">
        <v>1</v>
      </c>
      <c r="K1206" s="62">
        <v>0.01</v>
      </c>
      <c r="L1206" s="45"/>
      <c r="M1206" s="42"/>
      <c r="N1206" s="45"/>
      <c r="O1206" s="42"/>
      <c r="P1206" s="50">
        <v>0</v>
      </c>
      <c r="Q1206"/>
      <c r="R1206"/>
      <c r="S1206"/>
      <c r="T1206"/>
      <c r="U1206" s="46"/>
      <c r="V1206"/>
      <c r="W1206" s="62">
        <v>0.01</v>
      </c>
      <c r="X1206"/>
      <c r="Y1206"/>
      <c r="Z1206"/>
      <c r="AA120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38"/>
      <c r="AW1206" s="38"/>
      <c r="AX1206" s="38" t="s">
        <v>253</v>
      </c>
      <c r="AY1206" s="38"/>
      <c r="AZ1206" s="6"/>
      <c r="BA1206" s="38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</row>
    <row r="1207" spans="1:63" s="19" customFormat="1" ht="15" x14ac:dyDescent="0.25">
      <c r="A1207" s="47"/>
      <c r="B1207" s="48"/>
      <c r="C1207" s="102" t="s">
        <v>56</v>
      </c>
      <c r="D1207" s="102"/>
      <c r="E1207" s="102"/>
      <c r="F1207" s="102"/>
      <c r="G1207" s="102"/>
      <c r="H1207" s="41"/>
      <c r="I1207" s="42"/>
      <c r="J1207" s="42"/>
      <c r="K1207" s="42"/>
      <c r="L1207" s="45"/>
      <c r="M1207" s="42"/>
      <c r="N1207" s="49"/>
      <c r="O1207" s="42"/>
      <c r="P1207" s="50">
        <v>288.6155</v>
      </c>
      <c r="Q1207" s="51"/>
      <c r="R1207" s="51"/>
      <c r="S1207"/>
      <c r="T1207">
        <f>T1258</f>
        <v>0</v>
      </c>
      <c r="U1207" s="50">
        <v>250.97</v>
      </c>
      <c r="V1207"/>
      <c r="W1207" s="42"/>
      <c r="X1207"/>
      <c r="Y1207"/>
      <c r="Z1207"/>
      <c r="AA1207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38"/>
      <c r="AW1207" s="38"/>
      <c r="AX1207" s="38"/>
      <c r="AY1207" s="38" t="s">
        <v>56</v>
      </c>
      <c r="AZ1207" s="6"/>
      <c r="BA1207" s="38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</row>
    <row r="1208" spans="1:63" s="19" customFormat="1" ht="15" x14ac:dyDescent="0.25">
      <c r="A1208" s="52"/>
      <c r="B1208" s="53"/>
      <c r="C1208" s="104" t="s">
        <v>57</v>
      </c>
      <c r="D1208" s="104"/>
      <c r="E1208" s="104"/>
      <c r="F1208" s="104"/>
      <c r="G1208" s="104"/>
      <c r="H1208" s="54"/>
      <c r="I1208" s="55"/>
      <c r="J1208" s="55"/>
      <c r="K1208" s="55"/>
      <c r="L1208" s="56"/>
      <c r="M1208" s="55"/>
      <c r="N1208" s="56"/>
      <c r="O1208" s="55"/>
      <c r="P1208" s="77">
        <v>286.45349999999996</v>
      </c>
      <c r="Q1208"/>
      <c r="R1208"/>
      <c r="S1208"/>
      <c r="T1208">
        <f>T1258</f>
        <v>0</v>
      </c>
      <c r="U1208" s="65">
        <v>249.09</v>
      </c>
      <c r="V1208"/>
      <c r="W1208" s="55"/>
      <c r="X1208"/>
      <c r="Y1208"/>
      <c r="Z1208"/>
      <c r="AA1208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38"/>
      <c r="AW1208" s="38"/>
      <c r="AX1208" s="38"/>
      <c r="AY1208" s="38"/>
      <c r="AZ1208" s="6" t="s">
        <v>57</v>
      </c>
      <c r="BA1208" s="38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</row>
    <row r="1209" spans="1:63" s="19" customFormat="1" ht="34.5" x14ac:dyDescent="0.25">
      <c r="A1209" s="52"/>
      <c r="B1209" s="53" t="s">
        <v>215</v>
      </c>
      <c r="C1209" s="104" t="s">
        <v>216</v>
      </c>
      <c r="D1209" s="104"/>
      <c r="E1209" s="104"/>
      <c r="F1209" s="104"/>
      <c r="G1209" s="104"/>
      <c r="H1209" s="54" t="s">
        <v>60</v>
      </c>
      <c r="I1209" s="58">
        <v>121</v>
      </c>
      <c r="J1209" s="55"/>
      <c r="K1209" s="58">
        <v>121</v>
      </c>
      <c r="L1209" s="56"/>
      <c r="M1209" s="55"/>
      <c r="N1209" s="56"/>
      <c r="O1209" s="55"/>
      <c r="P1209" s="77">
        <v>346.60999999999996</v>
      </c>
      <c r="Q1209"/>
      <c r="R1209"/>
      <c r="S1209"/>
      <c r="T1209">
        <f>T1258</f>
        <v>0</v>
      </c>
      <c r="U1209" s="65">
        <v>301.39999999999998</v>
      </c>
      <c r="V1209"/>
      <c r="W1209" s="58">
        <v>121</v>
      </c>
      <c r="X1209"/>
      <c r="Y1209"/>
      <c r="Z1209"/>
      <c r="AA1209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38"/>
      <c r="AW1209" s="38"/>
      <c r="AX1209" s="38"/>
      <c r="AY1209" s="38"/>
      <c r="AZ1209" s="6" t="s">
        <v>216</v>
      </c>
      <c r="BA1209" s="38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</row>
    <row r="1210" spans="1:63" s="19" customFormat="1" ht="34.5" x14ac:dyDescent="0.25">
      <c r="A1210" s="52"/>
      <c r="B1210" s="53" t="s">
        <v>217</v>
      </c>
      <c r="C1210" s="104" t="s">
        <v>218</v>
      </c>
      <c r="D1210" s="104"/>
      <c r="E1210" s="104"/>
      <c r="F1210" s="104"/>
      <c r="G1210" s="104"/>
      <c r="H1210" s="54" t="s">
        <v>60</v>
      </c>
      <c r="I1210" s="58">
        <v>72</v>
      </c>
      <c r="J1210" s="55"/>
      <c r="K1210" s="58">
        <v>72</v>
      </c>
      <c r="L1210" s="56"/>
      <c r="M1210" s="55"/>
      <c r="N1210" s="56"/>
      <c r="O1210" s="55"/>
      <c r="P1210" s="77">
        <v>206.24099999999999</v>
      </c>
      <c r="Q1210"/>
      <c r="R1210"/>
      <c r="S1210"/>
      <c r="T1210">
        <f>T1258</f>
        <v>0</v>
      </c>
      <c r="U1210" s="65">
        <v>179.34</v>
      </c>
      <c r="V1210"/>
      <c r="W1210" s="58">
        <v>72</v>
      </c>
      <c r="X1210"/>
      <c r="Y1210"/>
      <c r="Z1210"/>
      <c r="AA1210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38"/>
      <c r="AW1210" s="38"/>
      <c r="AX1210" s="38"/>
      <c r="AY1210" s="38"/>
      <c r="AZ1210" s="6" t="s">
        <v>218</v>
      </c>
      <c r="BA1210" s="38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</row>
    <row r="1211" spans="1:63" s="19" customFormat="1" ht="15" x14ac:dyDescent="0.25">
      <c r="A1211" s="59"/>
      <c r="B1211" s="98"/>
      <c r="C1211" s="102" t="s">
        <v>63</v>
      </c>
      <c r="D1211" s="102"/>
      <c r="E1211" s="102"/>
      <c r="F1211" s="102"/>
      <c r="G1211" s="102"/>
      <c r="H1211" s="41"/>
      <c r="I1211" s="42"/>
      <c r="J1211" s="42"/>
      <c r="K1211" s="42"/>
      <c r="L1211" s="45"/>
      <c r="M1211" s="42"/>
      <c r="N1211" s="49">
        <v>73171</v>
      </c>
      <c r="O1211" s="42"/>
      <c r="P1211" s="50">
        <v>841.4665</v>
      </c>
      <c r="Q1211"/>
      <c r="R1211"/>
      <c r="S1211"/>
      <c r="T1211">
        <f>T1258</f>
        <v>0</v>
      </c>
      <c r="U1211" s="63">
        <f>731.71*(K1206/W1206)</f>
        <v>731.71</v>
      </c>
      <c r="V1211"/>
      <c r="W1211" s="42"/>
      <c r="X1211"/>
      <c r="Y1211"/>
      <c r="Z1211"/>
      <c r="AA1211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38"/>
      <c r="AW1211" s="38"/>
      <c r="AX1211" s="38"/>
      <c r="AY1211" s="38"/>
      <c r="AZ1211" s="6"/>
      <c r="BA1211" s="38" t="s">
        <v>63</v>
      </c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</row>
    <row r="1212" spans="1:63" s="19" customFormat="1" ht="23.25" x14ac:dyDescent="0.25">
      <c r="A1212" s="39" t="s">
        <v>819</v>
      </c>
      <c r="B1212" s="97" t="s">
        <v>255</v>
      </c>
      <c r="C1212" s="103" t="s">
        <v>256</v>
      </c>
      <c r="D1212" s="103"/>
      <c r="E1212" s="103"/>
      <c r="F1212" s="103"/>
      <c r="G1212" s="103"/>
      <c r="H1212" s="41" t="s">
        <v>244</v>
      </c>
      <c r="I1212" s="42">
        <v>0.998</v>
      </c>
      <c r="J1212" s="43">
        <v>1</v>
      </c>
      <c r="K1212" s="66">
        <v>0.998</v>
      </c>
      <c r="L1212" s="61">
        <v>134</v>
      </c>
      <c r="M1212" s="62">
        <v>1.01</v>
      </c>
      <c r="N1212" s="61">
        <v>135.34</v>
      </c>
      <c r="O1212" s="42"/>
      <c r="P1212" s="50">
        <v>155.33049999999997</v>
      </c>
      <c r="Q1212"/>
      <c r="R1212"/>
      <c r="S1212"/>
      <c r="T1212">
        <f>T1258</f>
        <v>0</v>
      </c>
      <c r="U1212" s="63">
        <f>U1213</f>
        <v>135.07</v>
      </c>
      <c r="V1212"/>
      <c r="W1212" s="66">
        <v>0.998</v>
      </c>
      <c r="X1212"/>
      <c r="Y1212"/>
      <c r="Z1212"/>
      <c r="AA1212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38"/>
      <c r="AW1212" s="38"/>
      <c r="AX1212" s="38" t="s">
        <v>256</v>
      </c>
      <c r="AY1212" s="38"/>
      <c r="AZ1212" s="6"/>
      <c r="BA1212" s="38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</row>
    <row r="1213" spans="1:63" s="19" customFormat="1" ht="15" x14ac:dyDescent="0.25">
      <c r="A1213" s="59"/>
      <c r="B1213" s="98"/>
      <c r="C1213" s="102" t="s">
        <v>63</v>
      </c>
      <c r="D1213" s="102"/>
      <c r="E1213" s="102"/>
      <c r="F1213" s="102"/>
      <c r="G1213" s="102"/>
      <c r="H1213" s="41"/>
      <c r="I1213" s="42"/>
      <c r="J1213" s="42"/>
      <c r="K1213" s="42"/>
      <c r="L1213" s="45"/>
      <c r="M1213" s="42"/>
      <c r="N1213" s="45"/>
      <c r="O1213" s="42"/>
      <c r="P1213" s="50">
        <v>155.33049999999997</v>
      </c>
      <c r="Q1213"/>
      <c r="R1213"/>
      <c r="S1213"/>
      <c r="T1213">
        <f>T1258</f>
        <v>0</v>
      </c>
      <c r="U1213" s="63">
        <f>135.07*(K1212/W1212)</f>
        <v>135.07</v>
      </c>
      <c r="V1213"/>
      <c r="W1213" s="42"/>
      <c r="X1213"/>
      <c r="Y1213"/>
      <c r="Z1213"/>
      <c r="AA1213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38"/>
      <c r="AW1213" s="38"/>
      <c r="AX1213" s="38"/>
      <c r="AY1213" s="38"/>
      <c r="AZ1213" s="6"/>
      <c r="BA1213" s="38" t="s">
        <v>63</v>
      </c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</row>
    <row r="1214" spans="1:63" s="19" customFormat="1" ht="23.25" x14ac:dyDescent="0.25">
      <c r="A1214" s="39" t="s">
        <v>820</v>
      </c>
      <c r="B1214" s="97" t="s">
        <v>258</v>
      </c>
      <c r="C1214" s="103" t="s">
        <v>259</v>
      </c>
      <c r="D1214" s="103"/>
      <c r="E1214" s="103"/>
      <c r="F1214" s="103"/>
      <c r="G1214" s="103"/>
      <c r="H1214" s="41" t="s">
        <v>83</v>
      </c>
      <c r="I1214" s="42">
        <v>1</v>
      </c>
      <c r="J1214" s="43">
        <v>1</v>
      </c>
      <c r="K1214" s="43">
        <v>1</v>
      </c>
      <c r="L1214" s="61">
        <v>26.78</v>
      </c>
      <c r="M1214" s="62">
        <v>1.01</v>
      </c>
      <c r="N1214" s="61">
        <v>27.05</v>
      </c>
      <c r="O1214" s="42"/>
      <c r="P1214" s="50">
        <v>31.107499999999998</v>
      </c>
      <c r="Q1214"/>
      <c r="R1214"/>
      <c r="S1214"/>
      <c r="T1214">
        <f>T1258</f>
        <v>0</v>
      </c>
      <c r="U1214" s="63">
        <f>U1215</f>
        <v>27.05</v>
      </c>
      <c r="V1214"/>
      <c r="W1214" s="43">
        <v>1</v>
      </c>
      <c r="X1214"/>
      <c r="Y1214"/>
      <c r="Z1214"/>
      <c r="AA1214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38"/>
      <c r="AW1214" s="38"/>
      <c r="AX1214" s="38" t="s">
        <v>259</v>
      </c>
      <c r="AY1214" s="38"/>
      <c r="AZ1214" s="6"/>
      <c r="BA1214" s="38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</row>
    <row r="1215" spans="1:63" s="19" customFormat="1" ht="15" x14ac:dyDescent="0.25">
      <c r="A1215" s="59"/>
      <c r="B1215" s="98"/>
      <c r="C1215" s="102" t="s">
        <v>63</v>
      </c>
      <c r="D1215" s="102"/>
      <c r="E1215" s="102"/>
      <c r="F1215" s="102"/>
      <c r="G1215" s="102"/>
      <c r="H1215" s="41"/>
      <c r="I1215" s="42"/>
      <c r="J1215" s="42"/>
      <c r="K1215" s="42"/>
      <c r="L1215" s="45"/>
      <c r="M1215" s="42"/>
      <c r="N1215" s="45"/>
      <c r="O1215" s="42"/>
      <c r="P1215" s="50">
        <v>31.107499999999998</v>
      </c>
      <c r="Q1215"/>
      <c r="R1215"/>
      <c r="S1215"/>
      <c r="T1215">
        <f>T1258</f>
        <v>0</v>
      </c>
      <c r="U1215" s="63">
        <f>27.05*(K1214/W1214)</f>
        <v>27.05</v>
      </c>
      <c r="V1215"/>
      <c r="W1215" s="42"/>
      <c r="X1215"/>
      <c r="Y1215"/>
      <c r="Z1215"/>
      <c r="AA1215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38"/>
      <c r="AW1215" s="38"/>
      <c r="AX1215" s="38"/>
      <c r="AY1215" s="38"/>
      <c r="AZ1215" s="6"/>
      <c r="BA1215" s="38" t="s">
        <v>63</v>
      </c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</row>
    <row r="1216" spans="1:63" s="19" customFormat="1" ht="33.75" x14ac:dyDescent="0.25">
      <c r="A1216" s="39" t="s">
        <v>821</v>
      </c>
      <c r="B1216" s="97" t="s">
        <v>261</v>
      </c>
      <c r="C1216" s="103" t="s">
        <v>262</v>
      </c>
      <c r="D1216" s="103"/>
      <c r="E1216" s="103"/>
      <c r="F1216" s="103"/>
      <c r="G1216" s="103"/>
      <c r="H1216" s="41" t="s">
        <v>263</v>
      </c>
      <c r="I1216" s="42">
        <v>0.14000000000000001</v>
      </c>
      <c r="J1216" s="43">
        <v>1</v>
      </c>
      <c r="K1216" s="62">
        <v>0.14000000000000001</v>
      </c>
      <c r="L1216" s="45"/>
      <c r="M1216" s="42"/>
      <c r="N1216" s="45"/>
      <c r="O1216" s="42"/>
      <c r="P1216" s="50"/>
      <c r="Q1216"/>
      <c r="R1216"/>
      <c r="S1216"/>
      <c r="T1216"/>
      <c r="U1216" s="46"/>
      <c r="V1216"/>
      <c r="W1216" s="62">
        <v>0.14000000000000001</v>
      </c>
      <c r="X1216"/>
      <c r="Y1216"/>
      <c r="Z1216"/>
      <c r="AA121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38"/>
      <c r="AW1216" s="38"/>
      <c r="AX1216" s="38" t="s">
        <v>262</v>
      </c>
      <c r="AY1216" s="38"/>
      <c r="AZ1216" s="6"/>
      <c r="BA1216" s="38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</row>
    <row r="1217" spans="1:63" s="19" customFormat="1" ht="15" x14ac:dyDescent="0.25">
      <c r="A1217" s="47"/>
      <c r="B1217" s="48"/>
      <c r="C1217" s="102" t="s">
        <v>56</v>
      </c>
      <c r="D1217" s="102"/>
      <c r="E1217" s="102"/>
      <c r="F1217" s="102"/>
      <c r="G1217" s="102"/>
      <c r="H1217" s="41"/>
      <c r="I1217" s="42"/>
      <c r="J1217" s="42"/>
      <c r="K1217" s="42"/>
      <c r="L1217" s="45"/>
      <c r="M1217" s="42"/>
      <c r="N1217" s="49"/>
      <c r="O1217" s="42"/>
      <c r="P1217" s="50">
        <v>147.51050000000001</v>
      </c>
      <c r="Q1217" s="51"/>
      <c r="R1217" s="51"/>
      <c r="S1217"/>
      <c r="T1217">
        <f>T1258</f>
        <v>0</v>
      </c>
      <c r="U1217" s="50">
        <v>128.27000000000001</v>
      </c>
      <c r="V1217"/>
      <c r="W1217" s="42"/>
      <c r="X1217"/>
      <c r="Y1217"/>
      <c r="Z1217"/>
      <c r="AA1217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38"/>
      <c r="AW1217" s="38"/>
      <c r="AX1217" s="38"/>
      <c r="AY1217" s="38" t="s">
        <v>56</v>
      </c>
      <c r="AZ1217" s="6"/>
      <c r="BA1217" s="38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</row>
    <row r="1218" spans="1:63" s="19" customFormat="1" ht="15" x14ac:dyDescent="0.25">
      <c r="A1218" s="52"/>
      <c r="B1218" s="53"/>
      <c r="C1218" s="104" t="s">
        <v>57</v>
      </c>
      <c r="D1218" s="104"/>
      <c r="E1218" s="104"/>
      <c r="F1218" s="104"/>
      <c r="G1218" s="104"/>
      <c r="H1218" s="54"/>
      <c r="I1218" s="55"/>
      <c r="J1218" s="55"/>
      <c r="K1218" s="55"/>
      <c r="L1218" s="56"/>
      <c r="M1218" s="55"/>
      <c r="N1218" s="56"/>
      <c r="O1218" s="55"/>
      <c r="P1218" s="77">
        <v>147.51050000000001</v>
      </c>
      <c r="Q1218"/>
      <c r="R1218"/>
      <c r="S1218"/>
      <c r="T1218">
        <f>T1258</f>
        <v>0</v>
      </c>
      <c r="U1218" s="65">
        <v>128.27000000000001</v>
      </c>
      <c r="V1218"/>
      <c r="W1218" s="55"/>
      <c r="X1218"/>
      <c r="Y1218"/>
      <c r="Z1218"/>
      <c r="AA1218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38"/>
      <c r="AW1218" s="38"/>
      <c r="AX1218" s="38"/>
      <c r="AY1218" s="38"/>
      <c r="AZ1218" s="6" t="s">
        <v>57</v>
      </c>
      <c r="BA1218" s="38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</row>
    <row r="1219" spans="1:63" s="19" customFormat="1" ht="34.5" x14ac:dyDescent="0.25">
      <c r="A1219" s="52"/>
      <c r="B1219" s="53" t="s">
        <v>215</v>
      </c>
      <c r="C1219" s="104" t="s">
        <v>216</v>
      </c>
      <c r="D1219" s="104"/>
      <c r="E1219" s="104"/>
      <c r="F1219" s="104"/>
      <c r="G1219" s="104"/>
      <c r="H1219" s="54" t="s">
        <v>60</v>
      </c>
      <c r="I1219" s="58">
        <v>121</v>
      </c>
      <c r="J1219" s="55"/>
      <c r="K1219" s="58">
        <v>121</v>
      </c>
      <c r="L1219" s="56"/>
      <c r="M1219" s="55"/>
      <c r="N1219" s="56"/>
      <c r="O1219" s="55"/>
      <c r="P1219" s="77">
        <v>178.4915</v>
      </c>
      <c r="Q1219"/>
      <c r="R1219"/>
      <c r="S1219"/>
      <c r="T1219">
        <f>T1258</f>
        <v>0</v>
      </c>
      <c r="U1219" s="65">
        <v>155.21</v>
      </c>
      <c r="V1219"/>
      <c r="W1219" s="58">
        <v>121</v>
      </c>
      <c r="X1219"/>
      <c r="Y1219"/>
      <c r="Z1219"/>
      <c r="AA1219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38"/>
      <c r="AW1219" s="38"/>
      <c r="AX1219" s="38"/>
      <c r="AY1219" s="38"/>
      <c r="AZ1219" s="6" t="s">
        <v>216</v>
      </c>
      <c r="BA1219" s="38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</row>
    <row r="1220" spans="1:63" s="19" customFormat="1" ht="34.5" x14ac:dyDescent="0.25">
      <c r="A1220" s="52"/>
      <c r="B1220" s="53" t="s">
        <v>217</v>
      </c>
      <c r="C1220" s="104" t="s">
        <v>218</v>
      </c>
      <c r="D1220" s="104"/>
      <c r="E1220" s="104"/>
      <c r="F1220" s="104"/>
      <c r="G1220" s="104"/>
      <c r="H1220" s="54" t="s">
        <v>60</v>
      </c>
      <c r="I1220" s="58">
        <v>72</v>
      </c>
      <c r="J1220" s="55"/>
      <c r="K1220" s="58">
        <v>72</v>
      </c>
      <c r="L1220" s="56"/>
      <c r="M1220" s="55"/>
      <c r="N1220" s="56"/>
      <c r="O1220" s="55"/>
      <c r="P1220" s="77">
        <v>106.20249999999999</v>
      </c>
      <c r="Q1220"/>
      <c r="R1220"/>
      <c r="S1220"/>
      <c r="T1220">
        <f>T1258</f>
        <v>0</v>
      </c>
      <c r="U1220" s="65">
        <v>92.35</v>
      </c>
      <c r="V1220"/>
      <c r="W1220" s="58">
        <v>72</v>
      </c>
      <c r="X1220"/>
      <c r="Y1220"/>
      <c r="Z1220"/>
      <c r="AA1220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38"/>
      <c r="AW1220" s="38"/>
      <c r="AX1220" s="38"/>
      <c r="AY1220" s="38"/>
      <c r="AZ1220" s="6" t="s">
        <v>218</v>
      </c>
      <c r="BA1220" s="38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</row>
    <row r="1221" spans="1:63" s="19" customFormat="1" ht="15" x14ac:dyDescent="0.25">
      <c r="A1221" s="59"/>
      <c r="B1221" s="98"/>
      <c r="C1221" s="102" t="s">
        <v>63</v>
      </c>
      <c r="D1221" s="102"/>
      <c r="E1221" s="102"/>
      <c r="F1221" s="102"/>
      <c r="G1221" s="102"/>
      <c r="H1221" s="41"/>
      <c r="I1221" s="42"/>
      <c r="J1221" s="42"/>
      <c r="K1221" s="42"/>
      <c r="L1221" s="45"/>
      <c r="M1221" s="42"/>
      <c r="N1221" s="49">
        <v>2684.5</v>
      </c>
      <c r="O1221" s="42"/>
      <c r="P1221" s="50">
        <v>432.20449999999994</v>
      </c>
      <c r="Q1221"/>
      <c r="R1221"/>
      <c r="S1221"/>
      <c r="T1221">
        <f>T1258</f>
        <v>0</v>
      </c>
      <c r="U1221" s="63">
        <f>375.83*(K1216/W1216)</f>
        <v>375.83</v>
      </c>
      <c r="V1221"/>
      <c r="W1221" s="42"/>
      <c r="X1221"/>
      <c r="Y1221"/>
      <c r="Z1221"/>
      <c r="AA1221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38"/>
      <c r="AW1221" s="38"/>
      <c r="AX1221" s="38"/>
      <c r="AY1221" s="38"/>
      <c r="AZ1221" s="6"/>
      <c r="BA1221" s="38" t="s">
        <v>63</v>
      </c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</row>
    <row r="1222" spans="1:63" s="19" customFormat="1" ht="34.5" x14ac:dyDescent="0.25">
      <c r="A1222" s="39" t="s">
        <v>822</v>
      </c>
      <c r="B1222" s="97" t="s">
        <v>265</v>
      </c>
      <c r="C1222" s="103" t="s">
        <v>266</v>
      </c>
      <c r="D1222" s="103"/>
      <c r="E1222" s="103"/>
      <c r="F1222" s="103"/>
      <c r="G1222" s="103"/>
      <c r="H1222" s="41" t="s">
        <v>125</v>
      </c>
      <c r="I1222" s="42">
        <v>0.05</v>
      </c>
      <c r="J1222" s="43">
        <v>1</v>
      </c>
      <c r="K1222" s="62">
        <v>0.05</v>
      </c>
      <c r="L1222" s="45"/>
      <c r="M1222" s="42"/>
      <c r="N1222" s="45"/>
      <c r="O1222" s="42"/>
      <c r="P1222" s="50"/>
      <c r="Q1222"/>
      <c r="R1222"/>
      <c r="S1222"/>
      <c r="T1222"/>
      <c r="U1222" s="46"/>
      <c r="V1222"/>
      <c r="W1222" s="62">
        <v>0.05</v>
      </c>
      <c r="X1222"/>
      <c r="Y1222"/>
      <c r="Z1222"/>
      <c r="AA1222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38"/>
      <c r="AW1222" s="38"/>
      <c r="AX1222" s="38" t="s">
        <v>266</v>
      </c>
      <c r="AY1222" s="38"/>
      <c r="AZ1222" s="6"/>
      <c r="BA1222" s="38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</row>
    <row r="1223" spans="1:63" s="19" customFormat="1" ht="15" x14ac:dyDescent="0.25">
      <c r="A1223" s="47"/>
      <c r="B1223" s="48"/>
      <c r="C1223" s="102" t="s">
        <v>56</v>
      </c>
      <c r="D1223" s="102"/>
      <c r="E1223" s="102"/>
      <c r="F1223" s="102"/>
      <c r="G1223" s="102"/>
      <c r="H1223" s="41"/>
      <c r="I1223" s="42"/>
      <c r="J1223" s="42"/>
      <c r="K1223" s="42"/>
      <c r="L1223" s="45"/>
      <c r="M1223" s="42"/>
      <c r="N1223" s="49"/>
      <c r="O1223" s="42"/>
      <c r="P1223" s="50">
        <v>345.01149999999996</v>
      </c>
      <c r="Q1223" s="51"/>
      <c r="R1223" s="51"/>
      <c r="S1223"/>
      <c r="T1223">
        <f>T1258</f>
        <v>0</v>
      </c>
      <c r="U1223" s="50">
        <v>300.01</v>
      </c>
      <c r="V1223"/>
      <c r="W1223" s="42"/>
      <c r="X1223"/>
      <c r="Y1223"/>
      <c r="Z1223"/>
      <c r="AA1223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38"/>
      <c r="AW1223" s="38"/>
      <c r="AX1223" s="38"/>
      <c r="AY1223" s="38" t="s">
        <v>56</v>
      </c>
      <c r="AZ1223" s="6"/>
      <c r="BA1223" s="38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</row>
    <row r="1224" spans="1:63" s="19" customFormat="1" ht="15" x14ac:dyDescent="0.25">
      <c r="A1224" s="52"/>
      <c r="B1224" s="53"/>
      <c r="C1224" s="104" t="s">
        <v>57</v>
      </c>
      <c r="D1224" s="104"/>
      <c r="E1224" s="104"/>
      <c r="F1224" s="104"/>
      <c r="G1224" s="104"/>
      <c r="H1224" s="54"/>
      <c r="I1224" s="55"/>
      <c r="J1224" s="55"/>
      <c r="K1224" s="55"/>
      <c r="L1224" s="56"/>
      <c r="M1224" s="55"/>
      <c r="N1224" s="56"/>
      <c r="O1224" s="55"/>
      <c r="P1224" s="77">
        <v>307.6825</v>
      </c>
      <c r="Q1224"/>
      <c r="R1224"/>
      <c r="S1224"/>
      <c r="T1224">
        <f>T1258</f>
        <v>0</v>
      </c>
      <c r="U1224" s="65">
        <v>267.55</v>
      </c>
      <c r="V1224"/>
      <c r="W1224" s="55"/>
      <c r="X1224"/>
      <c r="Y1224"/>
      <c r="Z1224"/>
      <c r="AA1224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38"/>
      <c r="AW1224" s="38"/>
      <c r="AX1224" s="38"/>
      <c r="AY1224" s="38"/>
      <c r="AZ1224" s="6" t="s">
        <v>57</v>
      </c>
      <c r="BA1224" s="38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</row>
    <row r="1225" spans="1:63" s="19" customFormat="1" ht="34.5" x14ac:dyDescent="0.25">
      <c r="A1225" s="52"/>
      <c r="B1225" s="53" t="s">
        <v>215</v>
      </c>
      <c r="C1225" s="104" t="s">
        <v>216</v>
      </c>
      <c r="D1225" s="104"/>
      <c r="E1225" s="104"/>
      <c r="F1225" s="104"/>
      <c r="G1225" s="104"/>
      <c r="H1225" s="54" t="s">
        <v>60</v>
      </c>
      <c r="I1225" s="58">
        <v>121</v>
      </c>
      <c r="J1225" s="55"/>
      <c r="K1225" s="58">
        <v>121</v>
      </c>
      <c r="L1225" s="56"/>
      <c r="M1225" s="55"/>
      <c r="N1225" s="56"/>
      <c r="O1225" s="55"/>
      <c r="P1225" s="77">
        <v>372.30099999999999</v>
      </c>
      <c r="Q1225"/>
      <c r="R1225"/>
      <c r="S1225"/>
      <c r="T1225">
        <f>T1258</f>
        <v>0</v>
      </c>
      <c r="U1225" s="65">
        <v>323.74</v>
      </c>
      <c r="V1225"/>
      <c r="W1225" s="58">
        <v>121</v>
      </c>
      <c r="X1225"/>
      <c r="Y1225"/>
      <c r="Z1225"/>
      <c r="AA1225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38"/>
      <c r="AW1225" s="38"/>
      <c r="AX1225" s="38"/>
      <c r="AY1225" s="38"/>
      <c r="AZ1225" s="6" t="s">
        <v>216</v>
      </c>
      <c r="BA1225" s="38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</row>
    <row r="1226" spans="1:63" s="19" customFormat="1" ht="34.5" x14ac:dyDescent="0.25">
      <c r="A1226" s="52"/>
      <c r="B1226" s="53" t="s">
        <v>217</v>
      </c>
      <c r="C1226" s="104" t="s">
        <v>218</v>
      </c>
      <c r="D1226" s="104"/>
      <c r="E1226" s="104"/>
      <c r="F1226" s="104"/>
      <c r="G1226" s="104"/>
      <c r="H1226" s="54" t="s">
        <v>60</v>
      </c>
      <c r="I1226" s="58">
        <v>72</v>
      </c>
      <c r="J1226" s="55"/>
      <c r="K1226" s="58">
        <v>72</v>
      </c>
      <c r="L1226" s="56"/>
      <c r="M1226" s="55"/>
      <c r="N1226" s="56"/>
      <c r="O1226" s="55"/>
      <c r="P1226" s="77">
        <v>221.53599999999997</v>
      </c>
      <c r="Q1226"/>
      <c r="R1226"/>
      <c r="S1226"/>
      <c r="T1226">
        <f>T1258</f>
        <v>0</v>
      </c>
      <c r="U1226" s="65">
        <v>192.64</v>
      </c>
      <c r="V1226"/>
      <c r="W1226" s="58">
        <v>72</v>
      </c>
      <c r="X1226"/>
      <c r="Y1226"/>
      <c r="Z1226"/>
      <c r="AA122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38"/>
      <c r="AW1226" s="38"/>
      <c r="AX1226" s="38"/>
      <c r="AY1226" s="38"/>
      <c r="AZ1226" s="6" t="s">
        <v>218</v>
      </c>
      <c r="BA1226" s="38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</row>
    <row r="1227" spans="1:63" s="19" customFormat="1" ht="15" x14ac:dyDescent="0.25">
      <c r="A1227" s="59"/>
      <c r="B1227" s="98"/>
      <c r="C1227" s="102" t="s">
        <v>63</v>
      </c>
      <c r="D1227" s="102"/>
      <c r="E1227" s="102"/>
      <c r="F1227" s="102"/>
      <c r="G1227" s="102"/>
      <c r="H1227" s="41"/>
      <c r="I1227" s="42"/>
      <c r="J1227" s="42"/>
      <c r="K1227" s="42"/>
      <c r="L1227" s="45"/>
      <c r="M1227" s="42"/>
      <c r="N1227" s="49">
        <v>16327.8</v>
      </c>
      <c r="O1227" s="42"/>
      <c r="P1227" s="50">
        <v>938.84849999999994</v>
      </c>
      <c r="Q1227"/>
      <c r="R1227"/>
      <c r="S1227"/>
      <c r="T1227">
        <f>T1258</f>
        <v>0</v>
      </c>
      <c r="U1227" s="63">
        <f>816.39*(K1222/W1222)</f>
        <v>816.39</v>
      </c>
      <c r="V1227"/>
      <c r="W1227" s="42"/>
      <c r="X1227"/>
      <c r="Y1227"/>
      <c r="Z1227"/>
      <c r="AA1227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38"/>
      <c r="AW1227" s="38"/>
      <c r="AX1227" s="38"/>
      <c r="AY1227" s="38"/>
      <c r="AZ1227" s="6"/>
      <c r="BA1227" s="38" t="s">
        <v>63</v>
      </c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</row>
    <row r="1228" spans="1:63" s="19" customFormat="1" ht="23.25" x14ac:dyDescent="0.25">
      <c r="A1228" s="39" t="s">
        <v>823</v>
      </c>
      <c r="B1228" s="97" t="s">
        <v>268</v>
      </c>
      <c r="C1228" s="103" t="s">
        <v>269</v>
      </c>
      <c r="D1228" s="103"/>
      <c r="E1228" s="103"/>
      <c r="F1228" s="103"/>
      <c r="G1228" s="103"/>
      <c r="H1228" s="41" t="s">
        <v>244</v>
      </c>
      <c r="I1228" s="42">
        <v>5.125</v>
      </c>
      <c r="J1228" s="43">
        <v>1</v>
      </c>
      <c r="K1228" s="66">
        <v>5.125</v>
      </c>
      <c r="L1228" s="61">
        <v>45.1</v>
      </c>
      <c r="M1228" s="62">
        <v>1.01</v>
      </c>
      <c r="N1228" s="61">
        <v>45.55</v>
      </c>
      <c r="O1228" s="42"/>
      <c r="P1228" s="50">
        <v>268.45599999999996</v>
      </c>
      <c r="Q1228"/>
      <c r="R1228"/>
      <c r="S1228"/>
      <c r="T1228">
        <f>T1258</f>
        <v>0</v>
      </c>
      <c r="U1228" s="63">
        <f>U1229</f>
        <v>233.44</v>
      </c>
      <c r="V1228"/>
      <c r="W1228" s="66">
        <v>5.125</v>
      </c>
      <c r="X1228"/>
      <c r="Y1228"/>
      <c r="Z1228"/>
      <c r="AA1228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38"/>
      <c r="AW1228" s="38"/>
      <c r="AX1228" s="38" t="s">
        <v>269</v>
      </c>
      <c r="AY1228" s="38"/>
      <c r="AZ1228" s="6"/>
      <c r="BA1228" s="38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</row>
    <row r="1229" spans="1:63" s="19" customFormat="1" ht="15" x14ac:dyDescent="0.25">
      <c r="A1229" s="59"/>
      <c r="B1229" s="98"/>
      <c r="C1229" s="102" t="s">
        <v>63</v>
      </c>
      <c r="D1229" s="102"/>
      <c r="E1229" s="102"/>
      <c r="F1229" s="102"/>
      <c r="G1229" s="102"/>
      <c r="H1229" s="41"/>
      <c r="I1229" s="42"/>
      <c r="J1229" s="42"/>
      <c r="K1229" s="42"/>
      <c r="L1229" s="45"/>
      <c r="M1229" s="42"/>
      <c r="N1229" s="45"/>
      <c r="O1229" s="42"/>
      <c r="P1229" s="50">
        <v>268.45599999999996</v>
      </c>
      <c r="Q1229"/>
      <c r="R1229"/>
      <c r="S1229"/>
      <c r="T1229">
        <f>T1258</f>
        <v>0</v>
      </c>
      <c r="U1229" s="63">
        <f>233.44*(K1228/W1228)</f>
        <v>233.44</v>
      </c>
      <c r="V1229"/>
      <c r="W1229" s="42"/>
      <c r="X1229"/>
      <c r="Y1229"/>
      <c r="Z1229"/>
      <c r="AA1229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38"/>
      <c r="AW1229" s="38"/>
      <c r="AX1229" s="38"/>
      <c r="AY1229" s="38"/>
      <c r="AZ1229" s="6"/>
      <c r="BA1229" s="38" t="s">
        <v>63</v>
      </c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</row>
    <row r="1230" spans="1:63" s="19" customFormat="1" ht="15" x14ac:dyDescent="0.25">
      <c r="A1230" s="39" t="s">
        <v>824</v>
      </c>
      <c r="B1230" s="97" t="s">
        <v>271</v>
      </c>
      <c r="C1230" s="103" t="s">
        <v>272</v>
      </c>
      <c r="D1230" s="103"/>
      <c r="E1230" s="103"/>
      <c r="F1230" s="103"/>
      <c r="G1230" s="103"/>
      <c r="H1230" s="41" t="s">
        <v>83</v>
      </c>
      <c r="I1230" s="42">
        <v>1</v>
      </c>
      <c r="J1230" s="43">
        <v>1</v>
      </c>
      <c r="K1230" s="43">
        <v>1</v>
      </c>
      <c r="L1230" s="61">
        <v>8.2899999999999991</v>
      </c>
      <c r="M1230" s="62">
        <v>1.01</v>
      </c>
      <c r="N1230" s="61">
        <v>8.3699999999999992</v>
      </c>
      <c r="O1230" s="42"/>
      <c r="P1230" s="50">
        <v>9.6254999999999988</v>
      </c>
      <c r="Q1230"/>
      <c r="R1230"/>
      <c r="S1230"/>
      <c r="T1230">
        <f>T1258</f>
        <v>0</v>
      </c>
      <c r="U1230" s="63">
        <f>U1231</f>
        <v>8.3699999999999992</v>
      </c>
      <c r="V1230"/>
      <c r="W1230" s="43">
        <v>1</v>
      </c>
      <c r="X1230"/>
      <c r="Y1230"/>
      <c r="Z1230"/>
      <c r="AA1230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38"/>
      <c r="AW1230" s="38"/>
      <c r="AX1230" s="38" t="s">
        <v>272</v>
      </c>
      <c r="AY1230" s="38"/>
      <c r="AZ1230" s="6"/>
      <c r="BA1230" s="38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</row>
    <row r="1231" spans="1:63" s="19" customFormat="1" ht="15" x14ac:dyDescent="0.25">
      <c r="A1231" s="59"/>
      <c r="B1231" s="98"/>
      <c r="C1231" s="102" t="s">
        <v>63</v>
      </c>
      <c r="D1231" s="102"/>
      <c r="E1231" s="102"/>
      <c r="F1231" s="102"/>
      <c r="G1231" s="102"/>
      <c r="H1231" s="41"/>
      <c r="I1231" s="42"/>
      <c r="J1231" s="42"/>
      <c r="K1231" s="42"/>
      <c r="L1231" s="45"/>
      <c r="M1231" s="42"/>
      <c r="N1231" s="45"/>
      <c r="O1231" s="42"/>
      <c r="P1231" s="50">
        <v>9.6254999999999988</v>
      </c>
      <c r="Q1231"/>
      <c r="R1231"/>
      <c r="S1231"/>
      <c r="T1231">
        <f>T1258</f>
        <v>0</v>
      </c>
      <c r="U1231" s="63">
        <f>8.37*(K1230/W1230)</f>
        <v>8.3699999999999992</v>
      </c>
      <c r="V1231"/>
      <c r="W1231" s="42"/>
      <c r="X1231"/>
      <c r="Y1231"/>
      <c r="Z1231"/>
      <c r="AA1231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38"/>
      <c r="AW1231" s="38"/>
      <c r="AX1231" s="38"/>
      <c r="AY1231" s="38"/>
      <c r="AZ1231" s="6"/>
      <c r="BA1231" s="38" t="s">
        <v>63</v>
      </c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</row>
    <row r="1232" spans="1:63" s="19" customFormat="1" ht="15" x14ac:dyDescent="0.25">
      <c r="A1232" s="39" t="s">
        <v>825</v>
      </c>
      <c r="B1232" s="97" t="s">
        <v>274</v>
      </c>
      <c r="C1232" s="103" t="s">
        <v>275</v>
      </c>
      <c r="D1232" s="103"/>
      <c r="E1232" s="103"/>
      <c r="F1232" s="103"/>
      <c r="G1232" s="103"/>
      <c r="H1232" s="41" t="s">
        <v>83</v>
      </c>
      <c r="I1232" s="42">
        <v>2</v>
      </c>
      <c r="J1232" s="43">
        <v>1</v>
      </c>
      <c r="K1232" s="43">
        <v>2</v>
      </c>
      <c r="L1232" s="61">
        <v>6.28</v>
      </c>
      <c r="M1232" s="62">
        <v>1.01</v>
      </c>
      <c r="N1232" s="61">
        <v>6.34</v>
      </c>
      <c r="O1232" s="42"/>
      <c r="P1232" s="50">
        <v>14.581999999999999</v>
      </c>
      <c r="Q1232"/>
      <c r="R1232"/>
      <c r="S1232"/>
      <c r="T1232">
        <f>T1258</f>
        <v>0</v>
      </c>
      <c r="U1232" s="63">
        <f>U1233</f>
        <v>12.68</v>
      </c>
      <c r="V1232"/>
      <c r="W1232" s="43">
        <v>2</v>
      </c>
      <c r="X1232"/>
      <c r="Y1232"/>
      <c r="Z1232"/>
      <c r="AA1232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38"/>
      <c r="AW1232" s="38"/>
      <c r="AX1232" s="38" t="s">
        <v>275</v>
      </c>
      <c r="AY1232" s="38"/>
      <c r="AZ1232" s="6"/>
      <c r="BA1232" s="38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</row>
    <row r="1233" spans="1:63" s="19" customFormat="1" ht="15" x14ac:dyDescent="0.25">
      <c r="A1233" s="59"/>
      <c r="B1233" s="98"/>
      <c r="C1233" s="102" t="s">
        <v>63</v>
      </c>
      <c r="D1233" s="102"/>
      <c r="E1233" s="102"/>
      <c r="F1233" s="102"/>
      <c r="G1233" s="102"/>
      <c r="H1233" s="41"/>
      <c r="I1233" s="42"/>
      <c r="J1233" s="42"/>
      <c r="K1233" s="42"/>
      <c r="L1233" s="45"/>
      <c r="M1233" s="42"/>
      <c r="N1233" s="45"/>
      <c r="O1233" s="42"/>
      <c r="P1233" s="50">
        <v>14.581999999999999</v>
      </c>
      <c r="Q1233"/>
      <c r="R1233"/>
      <c r="S1233"/>
      <c r="T1233">
        <f>T1258</f>
        <v>0</v>
      </c>
      <c r="U1233" s="63">
        <f>12.68*(K1232/W1232)</f>
        <v>12.68</v>
      </c>
      <c r="V1233"/>
      <c r="W1233" s="42"/>
      <c r="X1233"/>
      <c r="Y1233"/>
      <c r="Z1233"/>
      <c r="AA1233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38"/>
      <c r="AW1233" s="38"/>
      <c r="AX1233" s="38"/>
      <c r="AY1233" s="38"/>
      <c r="AZ1233" s="6"/>
      <c r="BA1233" s="38" t="s">
        <v>63</v>
      </c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</row>
    <row r="1234" spans="1:63" s="19" customFormat="1" ht="34.5" x14ac:dyDescent="0.25">
      <c r="A1234" s="39" t="s">
        <v>826</v>
      </c>
      <c r="B1234" s="97" t="s">
        <v>277</v>
      </c>
      <c r="C1234" s="103" t="s">
        <v>278</v>
      </c>
      <c r="D1234" s="103"/>
      <c r="E1234" s="103"/>
      <c r="F1234" s="103"/>
      <c r="G1234" s="103"/>
      <c r="H1234" s="41" t="s">
        <v>83</v>
      </c>
      <c r="I1234" s="42">
        <v>6</v>
      </c>
      <c r="J1234" s="43">
        <v>1</v>
      </c>
      <c r="K1234" s="43">
        <v>6</v>
      </c>
      <c r="L1234" s="61">
        <v>45.79</v>
      </c>
      <c r="M1234" s="62">
        <v>1.01</v>
      </c>
      <c r="N1234" s="61">
        <v>46.25</v>
      </c>
      <c r="O1234" s="42"/>
      <c r="P1234" s="50">
        <v>319.125</v>
      </c>
      <c r="Q1234"/>
      <c r="R1234"/>
      <c r="S1234"/>
      <c r="T1234">
        <f>T1258</f>
        <v>0</v>
      </c>
      <c r="U1234" s="63">
        <f>U1235</f>
        <v>277.5</v>
      </c>
      <c r="V1234"/>
      <c r="W1234" s="43">
        <v>6</v>
      </c>
      <c r="X1234"/>
      <c r="Y1234"/>
      <c r="Z1234"/>
      <c r="AA1234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38"/>
      <c r="AW1234" s="38"/>
      <c r="AX1234" s="38" t="s">
        <v>278</v>
      </c>
      <c r="AY1234" s="38"/>
      <c r="AZ1234" s="6"/>
      <c r="BA1234" s="38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</row>
    <row r="1235" spans="1:63" s="19" customFormat="1" ht="15" x14ac:dyDescent="0.25">
      <c r="A1235" s="59"/>
      <c r="B1235" s="98"/>
      <c r="C1235" s="102" t="s">
        <v>63</v>
      </c>
      <c r="D1235" s="102"/>
      <c r="E1235" s="102"/>
      <c r="F1235" s="102"/>
      <c r="G1235" s="102"/>
      <c r="H1235" s="41"/>
      <c r="I1235" s="42"/>
      <c r="J1235" s="42"/>
      <c r="K1235" s="42"/>
      <c r="L1235" s="45"/>
      <c r="M1235" s="42"/>
      <c r="N1235" s="45"/>
      <c r="O1235" s="42"/>
      <c r="P1235" s="50">
        <v>319.125</v>
      </c>
      <c r="Q1235"/>
      <c r="R1235"/>
      <c r="S1235"/>
      <c r="T1235">
        <f>T1258</f>
        <v>0</v>
      </c>
      <c r="U1235" s="63">
        <f>277.5*(K1234/W1234)</f>
        <v>277.5</v>
      </c>
      <c r="V1235"/>
      <c r="W1235" s="42"/>
      <c r="X1235"/>
      <c r="Y1235"/>
      <c r="Z1235"/>
      <c r="AA1235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38"/>
      <c r="AW1235" s="38"/>
      <c r="AX1235" s="38"/>
      <c r="AY1235" s="38"/>
      <c r="AZ1235" s="6"/>
      <c r="BA1235" s="38" t="s">
        <v>63</v>
      </c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</row>
    <row r="1236" spans="1:63" s="19" customFormat="1" ht="15" x14ac:dyDescent="0.25">
      <c r="A1236" s="39" t="s">
        <v>827</v>
      </c>
      <c r="B1236" s="97" t="s">
        <v>280</v>
      </c>
      <c r="C1236" s="103" t="s">
        <v>281</v>
      </c>
      <c r="D1236" s="103"/>
      <c r="E1236" s="103"/>
      <c r="F1236" s="103"/>
      <c r="G1236" s="103"/>
      <c r="H1236" s="41" t="s">
        <v>75</v>
      </c>
      <c r="I1236" s="42">
        <v>0.04</v>
      </c>
      <c r="J1236" s="43">
        <v>1</v>
      </c>
      <c r="K1236" s="62">
        <v>0.04</v>
      </c>
      <c r="L1236" s="45"/>
      <c r="M1236" s="42"/>
      <c r="N1236" s="45"/>
      <c r="O1236" s="42"/>
      <c r="P1236" s="50"/>
      <c r="Q1236"/>
      <c r="R1236"/>
      <c r="S1236"/>
      <c r="T1236">
        <f>T1258</f>
        <v>0</v>
      </c>
      <c r="U1236" s="46"/>
      <c r="V1236"/>
      <c r="W1236" s="62">
        <v>0.02</v>
      </c>
      <c r="X1236"/>
      <c r="Y1236"/>
      <c r="Z1236"/>
      <c r="AA123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38"/>
      <c r="AW1236" s="38"/>
      <c r="AX1236" s="38" t="s">
        <v>281</v>
      </c>
      <c r="AY1236" s="38"/>
      <c r="AZ1236" s="6"/>
      <c r="BA1236" s="38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</row>
    <row r="1237" spans="1:63" s="19" customFormat="1" ht="15" x14ac:dyDescent="0.25">
      <c r="A1237" s="47"/>
      <c r="B1237" s="48"/>
      <c r="C1237" s="102" t="s">
        <v>56</v>
      </c>
      <c r="D1237" s="102"/>
      <c r="E1237" s="102"/>
      <c r="F1237" s="102"/>
      <c r="G1237" s="102"/>
      <c r="H1237" s="41"/>
      <c r="I1237" s="42"/>
      <c r="J1237" s="42"/>
      <c r="K1237" s="42"/>
      <c r="L1237" s="45"/>
      <c r="M1237" s="42"/>
      <c r="N1237" s="49"/>
      <c r="O1237" s="42"/>
      <c r="P1237" s="50">
        <v>2405.2824999999998</v>
      </c>
      <c r="Q1237" s="51"/>
      <c r="R1237" s="51"/>
      <c r="S1237"/>
      <c r="T1237">
        <f>T1258</f>
        <v>0</v>
      </c>
      <c r="U1237" s="50">
        <v>2091.5500000000002</v>
      </c>
      <c r="V1237"/>
      <c r="W1237" s="42"/>
      <c r="X1237"/>
      <c r="Y1237"/>
      <c r="Z1237"/>
      <c r="AA1237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38"/>
      <c r="AW1237" s="38"/>
      <c r="AX1237" s="38"/>
      <c r="AY1237" s="38" t="s">
        <v>56</v>
      </c>
      <c r="AZ1237" s="6"/>
      <c r="BA1237" s="38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</row>
    <row r="1238" spans="1:63" s="19" customFormat="1" ht="15" x14ac:dyDescent="0.25">
      <c r="A1238" s="52"/>
      <c r="B1238" s="53"/>
      <c r="C1238" s="104" t="s">
        <v>57</v>
      </c>
      <c r="D1238" s="104"/>
      <c r="E1238" s="104"/>
      <c r="F1238" s="104"/>
      <c r="G1238" s="104"/>
      <c r="H1238" s="54"/>
      <c r="I1238" s="55"/>
      <c r="J1238" s="55"/>
      <c r="K1238" s="55"/>
      <c r="L1238" s="56"/>
      <c r="M1238" s="55"/>
      <c r="N1238" s="56"/>
      <c r="O1238" s="55"/>
      <c r="P1238" s="77">
        <v>1917.7860000000001</v>
      </c>
      <c r="Q1238"/>
      <c r="R1238"/>
      <c r="S1238"/>
      <c r="T1238">
        <f>T1258</f>
        <v>0</v>
      </c>
      <c r="U1238" s="57">
        <v>1667.64</v>
      </c>
      <c r="V1238"/>
      <c r="W1238" s="55"/>
      <c r="X1238"/>
      <c r="Y1238"/>
      <c r="Z1238"/>
      <c r="AA1238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38"/>
      <c r="AW1238" s="38"/>
      <c r="AX1238" s="38"/>
      <c r="AY1238" s="38"/>
      <c r="AZ1238" s="6" t="s">
        <v>57</v>
      </c>
      <c r="BA1238" s="38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</row>
    <row r="1239" spans="1:63" s="19" customFormat="1" ht="34.5" x14ac:dyDescent="0.25">
      <c r="A1239" s="52"/>
      <c r="B1239" s="53" t="s">
        <v>225</v>
      </c>
      <c r="C1239" s="104" t="s">
        <v>226</v>
      </c>
      <c r="D1239" s="104"/>
      <c r="E1239" s="104"/>
      <c r="F1239" s="104"/>
      <c r="G1239" s="104"/>
      <c r="H1239" s="54" t="s">
        <v>60</v>
      </c>
      <c r="I1239" s="58">
        <v>103</v>
      </c>
      <c r="J1239" s="55"/>
      <c r="K1239" s="58">
        <v>103</v>
      </c>
      <c r="L1239" s="56"/>
      <c r="M1239" s="55"/>
      <c r="N1239" s="56"/>
      <c r="O1239" s="55"/>
      <c r="P1239" s="77">
        <v>1975.3205</v>
      </c>
      <c r="Q1239"/>
      <c r="R1239"/>
      <c r="S1239"/>
      <c r="T1239">
        <f>T1258</f>
        <v>0</v>
      </c>
      <c r="U1239" s="57">
        <v>1717.67</v>
      </c>
      <c r="V1239"/>
      <c r="W1239" s="58">
        <v>103</v>
      </c>
      <c r="X1239"/>
      <c r="Y1239"/>
      <c r="Z1239"/>
      <c r="AA1239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38"/>
      <c r="AW1239" s="38"/>
      <c r="AX1239" s="38"/>
      <c r="AY1239" s="38"/>
      <c r="AZ1239" s="6" t="s">
        <v>226</v>
      </c>
      <c r="BA1239" s="38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</row>
    <row r="1240" spans="1:63" s="19" customFormat="1" ht="34.5" x14ac:dyDescent="0.25">
      <c r="A1240" s="52"/>
      <c r="B1240" s="53" t="s">
        <v>227</v>
      </c>
      <c r="C1240" s="104" t="s">
        <v>228</v>
      </c>
      <c r="D1240" s="104"/>
      <c r="E1240" s="104"/>
      <c r="F1240" s="104"/>
      <c r="G1240" s="104"/>
      <c r="H1240" s="54" t="s">
        <v>60</v>
      </c>
      <c r="I1240" s="58">
        <v>52</v>
      </c>
      <c r="J1240" s="55"/>
      <c r="K1240" s="58">
        <v>52</v>
      </c>
      <c r="L1240" s="56"/>
      <c r="M1240" s="55"/>
      <c r="N1240" s="56"/>
      <c r="O1240" s="55"/>
      <c r="P1240" s="77">
        <v>997.24549999999988</v>
      </c>
      <c r="Q1240"/>
      <c r="R1240"/>
      <c r="S1240"/>
      <c r="T1240">
        <f>T1258</f>
        <v>0</v>
      </c>
      <c r="U1240" s="65">
        <v>867.17</v>
      </c>
      <c r="V1240"/>
      <c r="W1240" s="58">
        <v>52</v>
      </c>
      <c r="X1240"/>
      <c r="Y1240"/>
      <c r="Z1240"/>
      <c r="AA1240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38"/>
      <c r="AW1240" s="38"/>
      <c r="AX1240" s="38"/>
      <c r="AY1240" s="38"/>
      <c r="AZ1240" s="6" t="s">
        <v>228</v>
      </c>
      <c r="BA1240" s="38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</row>
    <row r="1241" spans="1:63" s="19" customFormat="1" ht="15" x14ac:dyDescent="0.25">
      <c r="A1241" s="59"/>
      <c r="B1241" s="98"/>
      <c r="C1241" s="102" t="s">
        <v>63</v>
      </c>
      <c r="D1241" s="102"/>
      <c r="E1241" s="102"/>
      <c r="F1241" s="102"/>
      <c r="G1241" s="102"/>
      <c r="H1241" s="41"/>
      <c r="I1241" s="42"/>
      <c r="J1241" s="42"/>
      <c r="K1241" s="42"/>
      <c r="L1241" s="45"/>
      <c r="M1241" s="42"/>
      <c r="N1241" s="49">
        <v>233819.5</v>
      </c>
      <c r="O1241" s="42"/>
      <c r="P1241" s="50">
        <v>8066.7727500000001</v>
      </c>
      <c r="Q1241"/>
      <c r="R1241"/>
      <c r="S1241"/>
      <c r="T1241">
        <f>T1258</f>
        <v>0</v>
      </c>
      <c r="U1241" s="50">
        <f>4676.39*(K1236/W1236)</f>
        <v>9352.7800000000007</v>
      </c>
      <c r="V1241"/>
      <c r="W1241" s="42"/>
      <c r="X1241"/>
      <c r="Y1241"/>
      <c r="Z1241"/>
      <c r="AA1241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38"/>
      <c r="AW1241" s="38"/>
      <c r="AX1241" s="38"/>
      <c r="AY1241" s="38"/>
      <c r="AZ1241" s="6"/>
      <c r="BA1241" s="38" t="s">
        <v>63</v>
      </c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</row>
    <row r="1242" spans="1:63" s="19" customFormat="1" ht="34.5" x14ac:dyDescent="0.25">
      <c r="A1242" s="39" t="s">
        <v>828</v>
      </c>
      <c r="B1242" s="97" t="s">
        <v>283</v>
      </c>
      <c r="C1242" s="103" t="s">
        <v>284</v>
      </c>
      <c r="D1242" s="103"/>
      <c r="E1242" s="103"/>
      <c r="F1242" s="103"/>
      <c r="G1242" s="103"/>
      <c r="H1242" s="41" t="s">
        <v>222</v>
      </c>
      <c r="I1242" s="42">
        <v>4</v>
      </c>
      <c r="J1242" s="43">
        <v>1</v>
      </c>
      <c r="K1242" s="43">
        <v>4</v>
      </c>
      <c r="L1242" s="49">
        <v>1181.19</v>
      </c>
      <c r="M1242" s="62">
        <v>1.46</v>
      </c>
      <c r="N1242" s="49">
        <v>1724.54</v>
      </c>
      <c r="O1242" s="42"/>
      <c r="P1242" s="50">
        <v>7932.8839999999991</v>
      </c>
      <c r="Q1242"/>
      <c r="R1242"/>
      <c r="S1242"/>
      <c r="T1242">
        <f>T1258</f>
        <v>0</v>
      </c>
      <c r="U1242" s="50">
        <f>U1243</f>
        <v>6898.16</v>
      </c>
      <c r="V1242"/>
      <c r="W1242" s="43">
        <v>2</v>
      </c>
      <c r="X1242"/>
      <c r="Y1242"/>
      <c r="Z1242"/>
      <c r="AA1242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38"/>
      <c r="AW1242" s="38"/>
      <c r="AX1242" s="38" t="s">
        <v>284</v>
      </c>
      <c r="AY1242" s="38"/>
      <c r="AZ1242" s="6"/>
      <c r="BA1242" s="38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</row>
    <row r="1243" spans="1:63" s="19" customFormat="1" ht="15" x14ac:dyDescent="0.25">
      <c r="A1243" s="59"/>
      <c r="B1243" s="98"/>
      <c r="C1243" s="102" t="s">
        <v>63</v>
      </c>
      <c r="D1243" s="102"/>
      <c r="E1243" s="102"/>
      <c r="F1243" s="102"/>
      <c r="G1243" s="102"/>
      <c r="H1243" s="41"/>
      <c r="I1243" s="42"/>
      <c r="J1243" s="42"/>
      <c r="K1243" s="42"/>
      <c r="L1243" s="45"/>
      <c r="M1243" s="42"/>
      <c r="N1243" s="45"/>
      <c r="O1243" s="42"/>
      <c r="P1243" s="50">
        <v>7932.8839999999991</v>
      </c>
      <c r="Q1243"/>
      <c r="R1243"/>
      <c r="S1243"/>
      <c r="T1243">
        <f>T1258</f>
        <v>0</v>
      </c>
      <c r="U1243" s="50">
        <f>3449.08*(K1242/W1242)</f>
        <v>6898.16</v>
      </c>
      <c r="V1243"/>
      <c r="W1243"/>
      <c r="X1243"/>
      <c r="Y1243"/>
      <c r="Z1243"/>
      <c r="AA1243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38"/>
      <c r="AW1243" s="38"/>
      <c r="AX1243" s="38"/>
      <c r="AY1243" s="38"/>
      <c r="AZ1243" s="6"/>
      <c r="BA1243" s="38" t="s">
        <v>63</v>
      </c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</row>
    <row r="1244" spans="1:63" s="19" customFormat="1" ht="34.5" x14ac:dyDescent="0.25">
      <c r="A1244" s="39" t="s">
        <v>829</v>
      </c>
      <c r="B1244" s="97" t="s">
        <v>287</v>
      </c>
      <c r="C1244" s="103" t="s">
        <v>288</v>
      </c>
      <c r="D1244" s="103"/>
      <c r="E1244" s="103"/>
      <c r="F1244" s="103"/>
      <c r="G1244" s="103"/>
      <c r="H1244" s="41" t="s">
        <v>222</v>
      </c>
      <c r="I1244" s="42">
        <v>4</v>
      </c>
      <c r="J1244" s="43">
        <v>1</v>
      </c>
      <c r="K1244" s="43">
        <v>4</v>
      </c>
      <c r="L1244" s="49">
        <v>1164.77</v>
      </c>
      <c r="M1244" s="62">
        <v>1.1299999999999999</v>
      </c>
      <c r="N1244" s="49">
        <v>2316.19</v>
      </c>
      <c r="O1244" s="42"/>
      <c r="P1244" s="50">
        <v>10054.48</v>
      </c>
      <c r="Q1244"/>
      <c r="R1244"/>
      <c r="S1244"/>
      <c r="T1244">
        <f>T1258</f>
        <v>0</v>
      </c>
      <c r="U1244" s="50">
        <f>U1245</f>
        <v>5264.76</v>
      </c>
      <c r="V1244"/>
      <c r="W1244" s="43">
        <v>2</v>
      </c>
      <c r="X1244"/>
      <c r="Y1244"/>
      <c r="Z1244"/>
      <c r="AA1244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38"/>
      <c r="AW1244" s="38"/>
      <c r="AX1244" s="38" t="s">
        <v>288</v>
      </c>
      <c r="AY1244" s="38"/>
      <c r="AZ1244" s="6"/>
      <c r="BA1244" s="38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</row>
    <row r="1245" spans="1:63" s="19" customFormat="1" ht="15" x14ac:dyDescent="0.25">
      <c r="A1245" s="59"/>
      <c r="B1245" s="98"/>
      <c r="C1245" s="102" t="s">
        <v>63</v>
      </c>
      <c r="D1245" s="102"/>
      <c r="E1245" s="102"/>
      <c r="F1245" s="102"/>
      <c r="G1245" s="102"/>
      <c r="H1245" s="41"/>
      <c r="I1245" s="42"/>
      <c r="J1245" s="42"/>
      <c r="K1245" s="42"/>
      <c r="L1245" s="45"/>
      <c r="M1245" s="42"/>
      <c r="N1245" s="45"/>
      <c r="O1245" s="42"/>
      <c r="P1245" s="50">
        <f>P1244</f>
        <v>10054.48</v>
      </c>
      <c r="Q1245"/>
      <c r="R1245"/>
      <c r="S1245"/>
      <c r="T1245">
        <f>T1258</f>
        <v>0</v>
      </c>
      <c r="U1245" s="50">
        <f>2632.38*(K1244/W1244)</f>
        <v>5264.76</v>
      </c>
      <c r="V1245"/>
      <c r="W1245" s="42"/>
      <c r="X1245"/>
      <c r="Y1245"/>
      <c r="Z1245"/>
      <c r="AA1245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38"/>
      <c r="AW1245" s="38"/>
      <c r="AX1245" s="38"/>
      <c r="AY1245" s="38"/>
      <c r="AZ1245" s="6"/>
      <c r="BA1245" s="38" t="s">
        <v>63</v>
      </c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</row>
    <row r="1246" spans="1:63" s="19" customFormat="1" ht="23.25" x14ac:dyDescent="0.25">
      <c r="A1246" s="39" t="s">
        <v>830</v>
      </c>
      <c r="B1246" s="97" t="s">
        <v>290</v>
      </c>
      <c r="C1246" s="103" t="s">
        <v>291</v>
      </c>
      <c r="D1246" s="103"/>
      <c r="E1246" s="103"/>
      <c r="F1246" s="103"/>
      <c r="G1246" s="103"/>
      <c r="H1246" s="41" t="s">
        <v>292</v>
      </c>
      <c r="I1246" s="42">
        <v>1</v>
      </c>
      <c r="J1246" s="43">
        <v>1</v>
      </c>
      <c r="K1246" s="67">
        <v>1</v>
      </c>
      <c r="L1246" s="61">
        <v>565.04999999999995</v>
      </c>
      <c r="M1246" s="62">
        <v>1.1299999999999999</v>
      </c>
      <c r="N1246" s="61">
        <v>638.51</v>
      </c>
      <c r="O1246" s="42"/>
      <c r="P1246" s="50">
        <v>734.27499999999998</v>
      </c>
      <c r="Q1246"/>
      <c r="R1246"/>
      <c r="S1246"/>
      <c r="T1246">
        <f>T1258</f>
        <v>0</v>
      </c>
      <c r="U1246" s="63">
        <f>U1247</f>
        <v>638.5</v>
      </c>
      <c r="V1246"/>
      <c r="W1246" s="67">
        <v>0.4</v>
      </c>
      <c r="X1246"/>
      <c r="Y1246"/>
      <c r="Z1246"/>
      <c r="AA124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38"/>
      <c r="AW1246" s="38"/>
      <c r="AX1246" s="38" t="s">
        <v>291</v>
      </c>
      <c r="AY1246" s="38"/>
      <c r="AZ1246" s="6"/>
      <c r="BA1246" s="38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</row>
    <row r="1247" spans="1:63" s="19" customFormat="1" ht="15" x14ac:dyDescent="0.25">
      <c r="A1247" s="59"/>
      <c r="B1247" s="98"/>
      <c r="C1247" s="102" t="s">
        <v>63</v>
      </c>
      <c r="D1247" s="102"/>
      <c r="E1247" s="102"/>
      <c r="F1247" s="102"/>
      <c r="G1247" s="102"/>
      <c r="H1247" s="41"/>
      <c r="I1247" s="42"/>
      <c r="J1247" s="42"/>
      <c r="K1247" s="42"/>
      <c r="L1247" s="45"/>
      <c r="M1247" s="42"/>
      <c r="N1247" s="45"/>
      <c r="O1247" s="42"/>
      <c r="P1247" s="50">
        <v>734.27499999999998</v>
      </c>
      <c r="Q1247"/>
      <c r="R1247"/>
      <c r="S1247"/>
      <c r="T1247">
        <f>T1258</f>
        <v>0</v>
      </c>
      <c r="U1247" s="63">
        <f>255.4*(K1246/W1246)</f>
        <v>638.5</v>
      </c>
      <c r="V1247"/>
      <c r="W1247" s="42"/>
      <c r="X1247"/>
      <c r="Y1247"/>
      <c r="Z1247"/>
      <c r="AA1247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38"/>
      <c r="AW1247" s="38"/>
      <c r="AX1247" s="38"/>
      <c r="AY1247" s="38"/>
      <c r="AZ1247" s="6"/>
      <c r="BA1247" s="38" t="s">
        <v>63</v>
      </c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</row>
    <row r="1248" spans="1:63" s="19" customFormat="1" ht="23.25" x14ac:dyDescent="0.25">
      <c r="A1248" s="39" t="s">
        <v>831</v>
      </c>
      <c r="B1248" s="97" t="s">
        <v>294</v>
      </c>
      <c r="C1248" s="103" t="s">
        <v>295</v>
      </c>
      <c r="D1248" s="103"/>
      <c r="E1248" s="103"/>
      <c r="F1248" s="103"/>
      <c r="G1248" s="103"/>
      <c r="H1248" s="41" t="s">
        <v>83</v>
      </c>
      <c r="I1248" s="42">
        <v>11</v>
      </c>
      <c r="J1248" s="43">
        <v>1</v>
      </c>
      <c r="K1248" s="43">
        <v>11</v>
      </c>
      <c r="L1248" s="61">
        <v>279.64999999999998</v>
      </c>
      <c r="M1248" s="62">
        <v>1.36</v>
      </c>
      <c r="N1248" s="61">
        <v>380.32</v>
      </c>
      <c r="O1248" s="42"/>
      <c r="P1248" s="50">
        <v>9622.0959999999977</v>
      </c>
      <c r="Q1248"/>
      <c r="R1248"/>
      <c r="S1248"/>
      <c r="T1248">
        <f>T1258</f>
        <v>0</v>
      </c>
      <c r="U1248" s="50">
        <f>U1249</f>
        <v>8367.0399999999991</v>
      </c>
      <c r="V1248"/>
      <c r="W1248" s="43">
        <v>6</v>
      </c>
      <c r="X1248"/>
      <c r="Y1248"/>
      <c r="Z1248"/>
      <c r="AA1248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38"/>
      <c r="AW1248" s="38"/>
      <c r="AX1248" s="38" t="s">
        <v>295</v>
      </c>
      <c r="AY1248" s="38"/>
      <c r="AZ1248" s="6"/>
      <c r="BA1248" s="38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</row>
    <row r="1249" spans="1:63" s="19" customFormat="1" ht="15" x14ac:dyDescent="0.25">
      <c r="A1249" s="59"/>
      <c r="B1249" s="98"/>
      <c r="C1249" s="102" t="s">
        <v>63</v>
      </c>
      <c r="D1249" s="102"/>
      <c r="E1249" s="102"/>
      <c r="F1249" s="102"/>
      <c r="G1249" s="102"/>
      <c r="H1249" s="41"/>
      <c r="I1249" s="42"/>
      <c r="J1249" s="42"/>
      <c r="K1249" s="42"/>
      <c r="L1249" s="45"/>
      <c r="M1249" s="42"/>
      <c r="N1249" s="45"/>
      <c r="O1249" s="42"/>
      <c r="P1249" s="50">
        <v>9622.0959999999977</v>
      </c>
      <c r="Q1249"/>
      <c r="R1249"/>
      <c r="S1249"/>
      <c r="T1249">
        <f>T1258</f>
        <v>0</v>
      </c>
      <c r="U1249" s="50">
        <f>2281.92*2*(K1248/W1248)</f>
        <v>8367.0399999999991</v>
      </c>
      <c r="V1249"/>
      <c r="W1249"/>
      <c r="X1249"/>
      <c r="Y1249"/>
      <c r="Z1249"/>
      <c r="AA1249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38"/>
      <c r="AW1249" s="38"/>
      <c r="AX1249" s="38"/>
      <c r="AY1249" s="38"/>
      <c r="AZ1249" s="6"/>
      <c r="BA1249" s="38" t="s">
        <v>63</v>
      </c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</row>
    <row r="1250" spans="1:63" s="19" customFormat="1" ht="0" hidden="1" customHeight="1" x14ac:dyDescent="0.25">
      <c r="A1250" s="70"/>
      <c r="B1250" s="71"/>
      <c r="C1250" s="71"/>
      <c r="D1250" s="71"/>
      <c r="E1250" s="71"/>
      <c r="F1250" s="72"/>
      <c r="G1250" s="72"/>
      <c r="H1250" s="72"/>
      <c r="I1250" s="72"/>
      <c r="J1250" s="73"/>
      <c r="K1250" s="72"/>
      <c r="L1250" s="72"/>
      <c r="M1250" s="72"/>
      <c r="N1250" s="73"/>
      <c r="O1250" s="74"/>
      <c r="P1250" s="50">
        <f t="shared" ref="P1250:P1251" si="7">T1250*U1250</f>
        <v>0</v>
      </c>
      <c r="Q1250"/>
      <c r="R1250"/>
      <c r="S1250"/>
      <c r="T1250"/>
      <c r="U1250" s="73"/>
      <c r="V1250"/>
      <c r="W1250"/>
      <c r="X1250"/>
      <c r="Y1250"/>
      <c r="Z1250"/>
      <c r="AA1250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38"/>
      <c r="AW1250" s="38"/>
      <c r="AX1250" s="38"/>
      <c r="AY1250" s="38"/>
      <c r="AZ1250" s="6"/>
      <c r="BA1250" s="38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</row>
    <row r="1251" spans="1:63" s="19" customFormat="1" ht="15" x14ac:dyDescent="0.25">
      <c r="A1251" s="39" t="s">
        <v>832</v>
      </c>
      <c r="B1251" s="97" t="s">
        <v>313</v>
      </c>
      <c r="C1251" s="103" t="s">
        <v>312</v>
      </c>
      <c r="D1251" s="103"/>
      <c r="E1251" s="103"/>
      <c r="F1251" s="103"/>
      <c r="G1251" s="103"/>
      <c r="H1251" s="41" t="s">
        <v>75</v>
      </c>
      <c r="I1251" s="42">
        <v>0.02</v>
      </c>
      <c r="J1251" s="43">
        <v>1</v>
      </c>
      <c r="K1251" s="62">
        <v>0.02</v>
      </c>
      <c r="L1251" s="45"/>
      <c r="M1251" s="42"/>
      <c r="N1251" s="45"/>
      <c r="O1251" s="42"/>
      <c r="P1251" s="50"/>
      <c r="Q1251"/>
      <c r="R1251"/>
      <c r="S1251"/>
      <c r="T1251">
        <f>T1249</f>
        <v>0</v>
      </c>
      <c r="U1251" s="46"/>
      <c r="V1251"/>
      <c r="W1251" s="62">
        <v>0.02</v>
      </c>
      <c r="X1251"/>
      <c r="Y1251"/>
      <c r="Z1251"/>
      <c r="AA1251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38"/>
      <c r="AW1251" s="38"/>
      <c r="AX1251" s="38" t="s">
        <v>281</v>
      </c>
      <c r="AY1251" s="38"/>
      <c r="AZ1251" s="6"/>
      <c r="BA1251" s="38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</row>
    <row r="1252" spans="1:63" s="19" customFormat="1" ht="15" x14ac:dyDescent="0.25">
      <c r="A1252" s="47"/>
      <c r="B1252" s="48"/>
      <c r="C1252" s="102" t="s">
        <v>56</v>
      </c>
      <c r="D1252" s="102"/>
      <c r="E1252" s="102"/>
      <c r="F1252" s="102"/>
      <c r="G1252" s="102"/>
      <c r="H1252" s="41"/>
      <c r="I1252" s="42"/>
      <c r="J1252" s="42"/>
      <c r="K1252" s="42"/>
      <c r="L1252" s="45"/>
      <c r="M1252" s="42"/>
      <c r="N1252" s="49"/>
      <c r="O1252" s="42"/>
      <c r="P1252" s="50">
        <v>2405.2824999999998</v>
      </c>
      <c r="Q1252" s="51"/>
      <c r="R1252" s="51"/>
      <c r="S1252"/>
      <c r="T1252">
        <f>T1251</f>
        <v>0</v>
      </c>
      <c r="U1252" s="50">
        <v>2091.5500000000002</v>
      </c>
      <c r="V1252"/>
      <c r="W1252" s="42"/>
      <c r="X1252"/>
      <c r="Y1252"/>
      <c r="Z1252"/>
      <c r="AA1252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38"/>
      <c r="AW1252" s="38"/>
      <c r="AX1252" s="38"/>
      <c r="AY1252" s="38" t="s">
        <v>56</v>
      </c>
      <c r="AZ1252" s="6"/>
      <c r="BA1252" s="38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</row>
    <row r="1253" spans="1:63" s="19" customFormat="1" ht="15" x14ac:dyDescent="0.25">
      <c r="A1253" s="52"/>
      <c r="B1253" s="53"/>
      <c r="C1253" s="104" t="s">
        <v>57</v>
      </c>
      <c r="D1253" s="104"/>
      <c r="E1253" s="104"/>
      <c r="F1253" s="104"/>
      <c r="G1253" s="104"/>
      <c r="H1253" s="54"/>
      <c r="I1253" s="55"/>
      <c r="J1253" s="55"/>
      <c r="K1253" s="55"/>
      <c r="L1253" s="56"/>
      <c r="M1253" s="55"/>
      <c r="N1253" s="56"/>
      <c r="O1253" s="55"/>
      <c r="P1253" s="77">
        <v>1917.7860000000001</v>
      </c>
      <c r="Q1253"/>
      <c r="R1253"/>
      <c r="S1253"/>
      <c r="T1253">
        <f t="shared" ref="T1253:T1257" si="8">T1252</f>
        <v>0</v>
      </c>
      <c r="U1253" s="57">
        <v>1667.64</v>
      </c>
      <c r="V1253"/>
      <c r="W1253" s="55"/>
      <c r="X1253"/>
      <c r="Y1253"/>
      <c r="Z1253"/>
      <c r="AA1253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38"/>
      <c r="AW1253" s="38"/>
      <c r="AX1253" s="38"/>
      <c r="AY1253" s="38"/>
      <c r="AZ1253" s="6" t="s">
        <v>57</v>
      </c>
      <c r="BA1253" s="38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</row>
    <row r="1254" spans="1:63" s="19" customFormat="1" ht="34.5" x14ac:dyDescent="0.25">
      <c r="A1254" s="52"/>
      <c r="B1254" s="53" t="s">
        <v>225</v>
      </c>
      <c r="C1254" s="104" t="s">
        <v>226</v>
      </c>
      <c r="D1254" s="104"/>
      <c r="E1254" s="104"/>
      <c r="F1254" s="104"/>
      <c r="G1254" s="104"/>
      <c r="H1254" s="54" t="s">
        <v>60</v>
      </c>
      <c r="I1254" s="58">
        <v>103</v>
      </c>
      <c r="J1254" s="55"/>
      <c r="K1254" s="58">
        <v>103</v>
      </c>
      <c r="L1254" s="56"/>
      <c r="M1254" s="55"/>
      <c r="N1254" s="56"/>
      <c r="O1254" s="55"/>
      <c r="P1254" s="77">
        <v>1975.3205</v>
      </c>
      <c r="Q1254"/>
      <c r="R1254"/>
      <c r="S1254"/>
      <c r="T1254">
        <f t="shared" si="8"/>
        <v>0</v>
      </c>
      <c r="U1254" s="57">
        <v>1717.67</v>
      </c>
      <c r="V1254"/>
      <c r="W1254" s="58">
        <v>103</v>
      </c>
      <c r="X1254"/>
      <c r="Y1254"/>
      <c r="Z1254"/>
      <c r="AA1254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38"/>
      <c r="AW1254" s="38"/>
      <c r="AX1254" s="38"/>
      <c r="AY1254" s="38"/>
      <c r="AZ1254" s="6" t="s">
        <v>226</v>
      </c>
      <c r="BA1254" s="38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</row>
    <row r="1255" spans="1:63" s="19" customFormat="1" ht="34.5" x14ac:dyDescent="0.25">
      <c r="A1255" s="52"/>
      <c r="B1255" s="53" t="s">
        <v>227</v>
      </c>
      <c r="C1255" s="104" t="s">
        <v>228</v>
      </c>
      <c r="D1255" s="104"/>
      <c r="E1255" s="104"/>
      <c r="F1255" s="104"/>
      <c r="G1255" s="104"/>
      <c r="H1255" s="54" t="s">
        <v>60</v>
      </c>
      <c r="I1255" s="58">
        <v>52</v>
      </c>
      <c r="J1255" s="55"/>
      <c r="K1255" s="58">
        <v>52</v>
      </c>
      <c r="L1255" s="56"/>
      <c r="M1255" s="55"/>
      <c r="N1255" s="56"/>
      <c r="O1255" s="55"/>
      <c r="P1255" s="77">
        <v>997.25</v>
      </c>
      <c r="Q1255"/>
      <c r="R1255"/>
      <c r="S1255"/>
      <c r="T1255">
        <f t="shared" si="8"/>
        <v>0</v>
      </c>
      <c r="U1255" s="65">
        <v>867.17</v>
      </c>
      <c r="V1255"/>
      <c r="W1255" s="58">
        <v>52</v>
      </c>
      <c r="X1255"/>
      <c r="Y1255"/>
      <c r="Z1255"/>
      <c r="AA1255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38"/>
      <c r="AW1255" s="38"/>
      <c r="AX1255" s="38"/>
      <c r="AY1255" s="38"/>
      <c r="AZ1255" s="6" t="s">
        <v>228</v>
      </c>
      <c r="BA1255" s="38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</row>
    <row r="1256" spans="1:63" s="19" customFormat="1" ht="15" x14ac:dyDescent="0.25">
      <c r="A1256" s="59"/>
      <c r="B1256" s="98"/>
      <c r="C1256" s="102" t="s">
        <v>63</v>
      </c>
      <c r="D1256" s="102"/>
      <c r="E1256" s="102"/>
      <c r="F1256" s="102"/>
      <c r="G1256" s="102"/>
      <c r="H1256" s="41"/>
      <c r="I1256" s="42"/>
      <c r="J1256" s="42"/>
      <c r="K1256" s="42"/>
      <c r="L1256" s="45"/>
      <c r="M1256" s="42"/>
      <c r="N1256" s="49">
        <v>233819.5</v>
      </c>
      <c r="O1256" s="42"/>
      <c r="P1256" s="50">
        <v>1927.85</v>
      </c>
      <c r="Q1256"/>
      <c r="R1256"/>
      <c r="S1256"/>
      <c r="T1256">
        <f t="shared" si="8"/>
        <v>0</v>
      </c>
      <c r="U1256" s="50">
        <f>1676.39*(K1251/W1251)</f>
        <v>1676.39</v>
      </c>
      <c r="V1256"/>
      <c r="W1256" s="42"/>
      <c r="X1256"/>
      <c r="Y1256"/>
      <c r="Z1256"/>
      <c r="AA125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38"/>
      <c r="AW1256" s="38"/>
      <c r="AX1256" s="38"/>
      <c r="AY1256" s="38"/>
      <c r="AZ1256" s="6"/>
      <c r="BA1256" s="38" t="s">
        <v>63</v>
      </c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</row>
    <row r="1257" spans="1:63" s="19" customFormat="1" ht="18" customHeight="1" x14ac:dyDescent="0.25">
      <c r="A1257" s="39" t="s">
        <v>833</v>
      </c>
      <c r="B1257" s="97" t="s">
        <v>314</v>
      </c>
      <c r="C1257" s="103" t="s">
        <v>315</v>
      </c>
      <c r="D1257" s="103"/>
      <c r="E1257" s="103"/>
      <c r="F1257" s="103"/>
      <c r="G1257" s="103"/>
      <c r="H1257" s="41" t="s">
        <v>83</v>
      </c>
      <c r="I1257" s="42">
        <v>2</v>
      </c>
      <c r="J1257" s="43">
        <v>1</v>
      </c>
      <c r="K1257" s="43">
        <v>2</v>
      </c>
      <c r="L1257" s="49">
        <v>1181.19</v>
      </c>
      <c r="M1257" s="62">
        <v>1.46</v>
      </c>
      <c r="N1257" s="49">
        <v>1724.54</v>
      </c>
      <c r="O1257" s="42"/>
      <c r="P1257" s="50">
        <v>18151.599999999999</v>
      </c>
      <c r="Q1257"/>
      <c r="R1257"/>
      <c r="S1257"/>
      <c r="T1257">
        <f t="shared" si="8"/>
        <v>0</v>
      </c>
      <c r="U1257" s="50">
        <v>15784</v>
      </c>
      <c r="V1257"/>
      <c r="W1257" s="43">
        <v>2</v>
      </c>
      <c r="X1257"/>
      <c r="Y1257"/>
      <c r="Z1257"/>
      <c r="AA1257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38"/>
      <c r="AW1257" s="38"/>
      <c r="AX1257" s="38" t="s">
        <v>284</v>
      </c>
      <c r="AY1257" s="38"/>
      <c r="AZ1257" s="6"/>
      <c r="BA1257" s="38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</row>
    <row r="1258" spans="1:63" s="19" customFormat="1" ht="15" customHeight="1" x14ac:dyDescent="0.25">
      <c r="A1258" s="252" t="s">
        <v>583</v>
      </c>
      <c r="B1258" s="141"/>
      <c r="C1258" s="141"/>
      <c r="D1258" s="141"/>
      <c r="E1258" s="141"/>
      <c r="F1258" s="141"/>
      <c r="G1258" s="141"/>
      <c r="H1258" s="141"/>
      <c r="I1258" s="141"/>
      <c r="J1258" s="141"/>
      <c r="K1258" s="141"/>
      <c r="L1258" s="141"/>
      <c r="M1258" s="141"/>
      <c r="N1258" s="141"/>
      <c r="O1258" s="141"/>
      <c r="P1258" s="91">
        <f>P1025+P1027+P1029+P1035+P1037+P1043+P1045+P1047+P1054+P1056+P1062+P1064+P1070+P1072+P1074+P1076+P1082+P1084+P1090+P1092+P1094+P1100+P1102+P1109+P1115+P1117+P1124+P1130+P1136+P1138+P1140+P1146+P1148+P1154+P1156+P1162+P1164+P1166+P1168+P1175+P1177+P1183+P1185+P1191+P1193+P1199+P1201+P1203+P1205+P1211+P1213+P1215+P1221+P1227+P1229+P1231+P1233+P1235+P1241+P1243+P1245+P1247+P1249+P1256+P1257</f>
        <v>480788.96338983241</v>
      </c>
      <c r="Q1258" s="2"/>
      <c r="R1258" s="2"/>
      <c r="S1258"/>
      <c r="T1258">
        <f>T2297</f>
        <v>0</v>
      </c>
      <c r="U1258" s="77">
        <v>357055.2</v>
      </c>
      <c r="V1258"/>
      <c r="W1258"/>
      <c r="X1258"/>
      <c r="Y1258"/>
      <c r="Z1258"/>
      <c r="AA1258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38"/>
      <c r="BC1258" s="3"/>
      <c r="BD1258" s="3"/>
      <c r="BE1258" s="38" t="s">
        <v>303</v>
      </c>
      <c r="BF1258" s="6"/>
      <c r="BG1258" s="6"/>
      <c r="BH1258" s="6"/>
      <c r="BI1258" s="6"/>
      <c r="BJ1258" s="6"/>
      <c r="BK1258" s="6"/>
    </row>
    <row r="1259" spans="1:63" s="147" customFormat="1" ht="15" x14ac:dyDescent="0.25">
      <c r="A1259" s="253" t="s">
        <v>321</v>
      </c>
      <c r="B1259" s="254"/>
      <c r="C1259" s="254"/>
      <c r="D1259" s="254"/>
      <c r="E1259" s="254"/>
      <c r="F1259" s="254"/>
      <c r="G1259" s="254"/>
      <c r="H1259" s="254"/>
      <c r="I1259" s="254"/>
      <c r="J1259" s="254"/>
      <c r="K1259" s="254"/>
      <c r="L1259" s="254"/>
      <c r="M1259" s="254"/>
      <c r="N1259" s="254"/>
      <c r="O1259" s="254"/>
      <c r="P1259" s="255"/>
      <c r="Q1259" s="82"/>
      <c r="R1259" s="82"/>
      <c r="S1259" s="82"/>
      <c r="T1259" s="82"/>
      <c r="U1259" s="82"/>
      <c r="V1259" s="82"/>
      <c r="W1259" s="82"/>
      <c r="X1259" s="82"/>
      <c r="Y1259" s="82"/>
      <c r="Z1259" s="82"/>
      <c r="AA1259" s="82"/>
      <c r="AB1259" s="145"/>
      <c r="AC1259" s="145"/>
      <c r="AD1259" s="145"/>
      <c r="AE1259" s="145"/>
      <c r="AF1259" s="145"/>
      <c r="AG1259" s="145"/>
      <c r="AH1259" s="145"/>
      <c r="AI1259" s="145"/>
      <c r="AJ1259" s="145"/>
      <c r="AK1259" s="145"/>
      <c r="AL1259" s="145"/>
      <c r="AM1259" s="145"/>
      <c r="AN1259" s="145"/>
      <c r="AO1259" s="145"/>
      <c r="AP1259" s="145"/>
      <c r="AQ1259" s="145"/>
      <c r="AR1259" s="145"/>
      <c r="AS1259" s="145"/>
      <c r="AT1259" s="145"/>
      <c r="AU1259" s="145"/>
      <c r="AV1259" s="146"/>
      <c r="AW1259" s="145"/>
      <c r="AX1259" s="145"/>
      <c r="AY1259" s="145"/>
      <c r="AZ1259" s="145"/>
      <c r="BA1259" s="145"/>
      <c r="BB1259" s="145"/>
      <c r="BC1259" s="145"/>
      <c r="BD1259" s="145"/>
      <c r="BE1259" s="145"/>
      <c r="BF1259" s="145"/>
      <c r="BG1259" s="145"/>
      <c r="BH1259" s="145"/>
      <c r="BI1259" s="145"/>
      <c r="BJ1259" s="145"/>
      <c r="BK1259" s="145"/>
    </row>
    <row r="1260" spans="1:63" s="147" customFormat="1" ht="15" x14ac:dyDescent="0.25">
      <c r="A1260" s="107" t="s">
        <v>51</v>
      </c>
      <c r="B1260" s="108"/>
      <c r="C1260" s="108"/>
      <c r="D1260" s="108"/>
      <c r="E1260" s="108"/>
      <c r="F1260" s="108"/>
      <c r="G1260" s="108"/>
      <c r="H1260" s="108"/>
      <c r="I1260" s="108"/>
      <c r="J1260" s="108"/>
      <c r="K1260" s="108"/>
      <c r="L1260" s="108"/>
      <c r="M1260" s="108"/>
      <c r="N1260" s="108"/>
      <c r="O1260" s="108"/>
      <c r="P1260" s="109"/>
      <c r="Q1260" s="82"/>
      <c r="R1260" s="82"/>
      <c r="S1260" s="82"/>
      <c r="T1260" s="82"/>
      <c r="U1260" s="82"/>
      <c r="V1260" s="82"/>
      <c r="W1260" s="82"/>
      <c r="X1260" s="82"/>
      <c r="Y1260" s="82"/>
      <c r="Z1260" s="82"/>
      <c r="AA1260" s="82"/>
      <c r="AB1260" s="145"/>
      <c r="AC1260" s="145"/>
      <c r="AD1260" s="145"/>
      <c r="AE1260" s="145"/>
      <c r="AF1260" s="145"/>
      <c r="AG1260" s="145"/>
      <c r="AH1260" s="145"/>
      <c r="AI1260" s="145"/>
      <c r="AJ1260" s="145"/>
      <c r="AK1260" s="145"/>
      <c r="AL1260" s="145"/>
      <c r="AM1260" s="145"/>
      <c r="AN1260" s="145"/>
      <c r="AO1260" s="145"/>
      <c r="AP1260" s="145"/>
      <c r="AQ1260" s="145"/>
      <c r="AR1260" s="145"/>
      <c r="AS1260" s="145"/>
      <c r="AT1260" s="145"/>
      <c r="AU1260" s="145"/>
      <c r="AV1260" s="146"/>
      <c r="AW1260" s="146"/>
      <c r="AX1260" s="145"/>
      <c r="AY1260" s="145"/>
      <c r="AZ1260" s="145"/>
      <c r="BA1260" s="145"/>
      <c r="BB1260" s="145"/>
      <c r="BC1260" s="145"/>
      <c r="BD1260" s="145"/>
      <c r="BE1260" s="145"/>
      <c r="BF1260" s="145"/>
      <c r="BG1260" s="145"/>
      <c r="BH1260" s="145"/>
      <c r="BI1260" s="145"/>
      <c r="BJ1260" s="145"/>
      <c r="BK1260" s="145"/>
    </row>
    <row r="1261" spans="1:63" s="147" customFormat="1" ht="15" x14ac:dyDescent="0.25">
      <c r="A1261" s="39" t="s">
        <v>834</v>
      </c>
      <c r="B1261" s="97" t="s">
        <v>53</v>
      </c>
      <c r="C1261" s="103" t="s">
        <v>54</v>
      </c>
      <c r="D1261" s="103"/>
      <c r="E1261" s="103"/>
      <c r="F1261" s="103"/>
      <c r="G1261" s="103"/>
      <c r="H1261" s="41" t="s">
        <v>55</v>
      </c>
      <c r="I1261" s="42">
        <v>0.1053</v>
      </c>
      <c r="J1261" s="43">
        <v>1</v>
      </c>
      <c r="K1261" s="42">
        <v>0.1053</v>
      </c>
      <c r="L1261" s="45"/>
      <c r="M1261" s="42"/>
      <c r="N1261" s="45"/>
      <c r="O1261" s="42"/>
      <c r="P1261" s="46"/>
      <c r="Q1261" s="82"/>
      <c r="R1261" s="82"/>
      <c r="S1261" s="82"/>
      <c r="T1261" s="82"/>
      <c r="U1261" s="82"/>
      <c r="V1261" s="82"/>
      <c r="W1261" s="82"/>
      <c r="X1261" s="82"/>
      <c r="Y1261" s="82"/>
      <c r="Z1261" s="82"/>
      <c r="AA1261" s="82"/>
      <c r="AB1261" s="145"/>
      <c r="AC1261" s="145"/>
      <c r="AD1261" s="145"/>
      <c r="AE1261" s="145"/>
      <c r="AF1261" s="145"/>
      <c r="AG1261" s="145"/>
      <c r="AH1261" s="145"/>
      <c r="AI1261" s="145"/>
      <c r="AJ1261" s="145"/>
      <c r="AK1261" s="145"/>
      <c r="AL1261" s="145"/>
      <c r="AM1261" s="145"/>
      <c r="AN1261" s="145"/>
      <c r="AO1261" s="145"/>
      <c r="AP1261" s="145"/>
      <c r="AQ1261" s="145"/>
      <c r="AR1261" s="145"/>
      <c r="AS1261" s="145"/>
      <c r="AT1261" s="145"/>
      <c r="AU1261" s="145"/>
      <c r="AV1261" s="146"/>
      <c r="AW1261" s="146"/>
      <c r="AX1261" s="146"/>
      <c r="AY1261" s="145"/>
      <c r="AZ1261" s="145"/>
      <c r="BA1261" s="145"/>
      <c r="BB1261" s="145"/>
      <c r="BC1261" s="145"/>
      <c r="BD1261" s="145"/>
      <c r="BE1261" s="145"/>
      <c r="BF1261" s="145"/>
      <c r="BG1261" s="145"/>
      <c r="BH1261" s="145"/>
      <c r="BI1261" s="145"/>
      <c r="BJ1261" s="145"/>
      <c r="BK1261" s="145"/>
    </row>
    <row r="1262" spans="1:63" s="147" customFormat="1" ht="15" x14ac:dyDescent="0.25">
      <c r="A1262" s="47"/>
      <c r="B1262" s="48"/>
      <c r="C1262" s="102" t="s">
        <v>56</v>
      </c>
      <c r="D1262" s="102"/>
      <c r="E1262" s="102"/>
      <c r="F1262" s="102"/>
      <c r="G1262" s="102"/>
      <c r="H1262" s="41"/>
      <c r="I1262" s="42"/>
      <c r="J1262" s="42"/>
      <c r="K1262" s="42"/>
      <c r="L1262" s="45"/>
      <c r="M1262" s="42"/>
      <c r="N1262" s="49"/>
      <c r="O1262" s="42"/>
      <c r="P1262" s="50">
        <v>3911.5524999999998</v>
      </c>
      <c r="Q1262" s="157"/>
      <c r="R1262" s="157"/>
      <c r="S1262" s="82"/>
      <c r="T1262" s="82"/>
      <c r="U1262" s="156"/>
      <c r="V1262" s="82"/>
      <c r="X1262" s="82"/>
      <c r="Y1262" s="82"/>
      <c r="Z1262" s="82"/>
      <c r="AA1262" s="82"/>
      <c r="AB1262" s="145"/>
      <c r="AC1262" s="145"/>
      <c r="AD1262" s="145"/>
      <c r="AE1262" s="145"/>
      <c r="AF1262" s="145"/>
      <c r="AG1262" s="145"/>
      <c r="AH1262" s="145"/>
      <c r="AI1262" s="145"/>
      <c r="AJ1262" s="145"/>
      <c r="AK1262" s="145"/>
      <c r="AL1262" s="145"/>
      <c r="AM1262" s="145"/>
      <c r="AN1262" s="145"/>
      <c r="AO1262" s="145"/>
      <c r="AP1262" s="145"/>
      <c r="AQ1262" s="145"/>
      <c r="AR1262" s="145"/>
      <c r="AS1262" s="145"/>
      <c r="AT1262" s="145"/>
      <c r="AU1262" s="145"/>
      <c r="AV1262" s="146"/>
      <c r="AW1262" s="146"/>
      <c r="AX1262" s="146"/>
      <c r="AY1262" s="146"/>
      <c r="AZ1262" s="145"/>
      <c r="BA1262" s="145"/>
      <c r="BB1262" s="145"/>
      <c r="BC1262" s="145"/>
      <c r="BD1262" s="145"/>
      <c r="BE1262" s="145"/>
      <c r="BF1262" s="145"/>
      <c r="BG1262" s="145"/>
      <c r="BH1262" s="145"/>
      <c r="BI1262" s="145"/>
      <c r="BJ1262" s="145"/>
      <c r="BK1262" s="145"/>
    </row>
    <row r="1263" spans="1:63" s="147" customFormat="1" ht="15" x14ac:dyDescent="0.25">
      <c r="A1263" s="52"/>
      <c r="B1263" s="53"/>
      <c r="C1263" s="104" t="s">
        <v>57</v>
      </c>
      <c r="D1263" s="104"/>
      <c r="E1263" s="104"/>
      <c r="F1263" s="104"/>
      <c r="G1263" s="104"/>
      <c r="H1263" s="54"/>
      <c r="I1263" s="55"/>
      <c r="J1263" s="55"/>
      <c r="K1263" s="55"/>
      <c r="L1263" s="56"/>
      <c r="M1263" s="55"/>
      <c r="N1263" s="56"/>
      <c r="O1263" s="55"/>
      <c r="P1263" s="77">
        <v>3212.3754999999996</v>
      </c>
      <c r="Q1263" s="82"/>
      <c r="R1263" s="82"/>
      <c r="S1263" s="82"/>
      <c r="T1263" s="82"/>
      <c r="U1263" s="163"/>
      <c r="V1263" s="82"/>
      <c r="W1263" s="151"/>
      <c r="X1263" s="82"/>
      <c r="Y1263" s="82"/>
      <c r="Z1263" s="82"/>
      <c r="AA1263" s="82"/>
      <c r="AB1263" s="145"/>
      <c r="AC1263" s="145"/>
      <c r="AD1263" s="145"/>
      <c r="AE1263" s="145"/>
      <c r="AF1263" s="145"/>
      <c r="AG1263" s="145"/>
      <c r="AH1263" s="145"/>
      <c r="AI1263" s="145"/>
      <c r="AJ1263" s="145"/>
      <c r="AK1263" s="145"/>
      <c r="AL1263" s="145"/>
      <c r="AM1263" s="145"/>
      <c r="AN1263" s="145"/>
      <c r="AO1263" s="145"/>
      <c r="AP1263" s="145"/>
      <c r="AQ1263" s="145"/>
      <c r="AR1263" s="145"/>
      <c r="AS1263" s="145"/>
      <c r="AT1263" s="145"/>
      <c r="AU1263" s="145"/>
      <c r="AV1263" s="146"/>
      <c r="AW1263" s="146"/>
      <c r="AX1263" s="146"/>
      <c r="AY1263" s="146"/>
      <c r="AZ1263" s="145"/>
      <c r="BA1263" s="145"/>
      <c r="BB1263" s="145"/>
      <c r="BC1263" s="145"/>
      <c r="BD1263" s="145"/>
      <c r="BE1263" s="145"/>
      <c r="BF1263" s="145"/>
      <c r="BG1263" s="145"/>
      <c r="BH1263" s="145"/>
      <c r="BI1263" s="145"/>
      <c r="BJ1263" s="145"/>
      <c r="BK1263" s="145"/>
    </row>
    <row r="1264" spans="1:63" s="147" customFormat="1" ht="15" x14ac:dyDescent="0.25">
      <c r="A1264" s="52"/>
      <c r="B1264" s="53" t="s">
        <v>58</v>
      </c>
      <c r="C1264" s="104" t="s">
        <v>59</v>
      </c>
      <c r="D1264" s="104"/>
      <c r="E1264" s="104"/>
      <c r="F1264" s="104"/>
      <c r="G1264" s="104"/>
      <c r="H1264" s="54" t="s">
        <v>60</v>
      </c>
      <c r="I1264" s="58">
        <v>100</v>
      </c>
      <c r="J1264" s="55"/>
      <c r="K1264" s="58">
        <v>100</v>
      </c>
      <c r="L1264" s="56"/>
      <c r="M1264" s="55"/>
      <c r="N1264" s="56"/>
      <c r="O1264" s="55"/>
      <c r="P1264" s="77">
        <v>3212.3754999999996</v>
      </c>
      <c r="Q1264" s="82"/>
      <c r="R1264" s="82"/>
      <c r="S1264" s="82"/>
      <c r="T1264" s="82"/>
      <c r="U1264" s="163"/>
      <c r="V1264" s="82"/>
      <c r="W1264" s="160"/>
      <c r="X1264" s="82"/>
      <c r="Y1264" s="82"/>
      <c r="Z1264" s="82"/>
      <c r="AA1264" s="82"/>
      <c r="AB1264" s="145"/>
      <c r="AC1264" s="145"/>
      <c r="AD1264" s="145"/>
      <c r="AE1264" s="145"/>
      <c r="AF1264" s="145"/>
      <c r="AG1264" s="145"/>
      <c r="AH1264" s="145"/>
      <c r="AI1264" s="145"/>
      <c r="AJ1264" s="145"/>
      <c r="AK1264" s="145"/>
      <c r="AL1264" s="145"/>
      <c r="AM1264" s="145"/>
      <c r="AN1264" s="145"/>
      <c r="AO1264" s="145"/>
      <c r="AP1264" s="145"/>
      <c r="AQ1264" s="145"/>
      <c r="AR1264" s="145"/>
      <c r="AS1264" s="145"/>
      <c r="AT1264" s="145"/>
      <c r="AU1264" s="145"/>
      <c r="AV1264" s="146"/>
      <c r="AW1264" s="146"/>
      <c r="AX1264" s="146"/>
      <c r="AY1264" s="146"/>
      <c r="AZ1264" s="145"/>
      <c r="BA1264" s="145"/>
      <c r="BB1264" s="145"/>
      <c r="BC1264" s="145"/>
      <c r="BD1264" s="145"/>
      <c r="BE1264" s="145"/>
      <c r="BF1264" s="145"/>
      <c r="BG1264" s="145"/>
      <c r="BH1264" s="145"/>
      <c r="BI1264" s="145"/>
      <c r="BJ1264" s="145"/>
      <c r="BK1264" s="145"/>
    </row>
    <row r="1265" spans="1:63" s="147" customFormat="1" ht="15" x14ac:dyDescent="0.25">
      <c r="A1265" s="52"/>
      <c r="B1265" s="53" t="s">
        <v>61</v>
      </c>
      <c r="C1265" s="104" t="s">
        <v>62</v>
      </c>
      <c r="D1265" s="104"/>
      <c r="E1265" s="104"/>
      <c r="F1265" s="104"/>
      <c r="G1265" s="104"/>
      <c r="H1265" s="54" t="s">
        <v>60</v>
      </c>
      <c r="I1265" s="58">
        <v>49</v>
      </c>
      <c r="J1265" s="55"/>
      <c r="K1265" s="58">
        <v>49</v>
      </c>
      <c r="L1265" s="56"/>
      <c r="M1265" s="55"/>
      <c r="N1265" s="56"/>
      <c r="O1265" s="55"/>
      <c r="P1265" s="77">
        <v>1574.0624999999998</v>
      </c>
      <c r="Q1265" s="82"/>
      <c r="R1265" s="82"/>
      <c r="S1265" s="82"/>
      <c r="T1265" s="165"/>
      <c r="U1265" s="163"/>
      <c r="V1265" s="82"/>
      <c r="W1265" s="164"/>
      <c r="X1265" s="82"/>
      <c r="Y1265" s="82"/>
      <c r="Z1265" s="82"/>
      <c r="AA1265" s="82"/>
      <c r="AB1265" s="145"/>
      <c r="AC1265" s="145"/>
      <c r="AD1265" s="145"/>
      <c r="AE1265" s="145"/>
      <c r="AF1265" s="145"/>
      <c r="AG1265" s="145"/>
      <c r="AH1265" s="145"/>
      <c r="AI1265" s="145"/>
      <c r="AJ1265" s="145"/>
      <c r="AK1265" s="145"/>
      <c r="AL1265" s="145"/>
      <c r="AM1265" s="145"/>
      <c r="AN1265" s="145"/>
      <c r="AO1265" s="145"/>
      <c r="AP1265" s="145"/>
      <c r="AQ1265" s="145"/>
      <c r="AR1265" s="145"/>
      <c r="AS1265" s="145"/>
      <c r="AT1265" s="145"/>
      <c r="AU1265" s="145"/>
      <c r="AV1265" s="146"/>
      <c r="AW1265" s="146"/>
      <c r="AX1265" s="146"/>
      <c r="AY1265" s="146"/>
      <c r="AZ1265" s="145"/>
      <c r="BA1265" s="145"/>
      <c r="BB1265" s="145"/>
      <c r="BC1265" s="145"/>
      <c r="BD1265" s="145"/>
      <c r="BE1265" s="145"/>
      <c r="BF1265" s="145"/>
      <c r="BG1265" s="145"/>
      <c r="BH1265" s="145"/>
      <c r="BI1265" s="145"/>
      <c r="BJ1265" s="145"/>
      <c r="BK1265" s="145"/>
    </row>
    <row r="1266" spans="1:63" s="147" customFormat="1" ht="15" x14ac:dyDescent="0.25">
      <c r="A1266" s="59"/>
      <c r="B1266" s="98"/>
      <c r="C1266" s="102" t="s">
        <v>63</v>
      </c>
      <c r="D1266" s="102"/>
      <c r="E1266" s="102"/>
      <c r="F1266" s="102"/>
      <c r="G1266" s="102"/>
      <c r="H1266" s="41"/>
      <c r="I1266" s="42"/>
      <c r="J1266" s="42"/>
      <c r="K1266" s="42"/>
      <c r="L1266" s="45"/>
      <c r="M1266" s="42"/>
      <c r="N1266" s="49">
        <v>64479.71</v>
      </c>
      <c r="O1266" s="42"/>
      <c r="P1266" s="91">
        <v>8697.9904999999999</v>
      </c>
      <c r="Q1266" s="82"/>
      <c r="R1266" s="82"/>
      <c r="S1266" s="82"/>
      <c r="T1266" s="82"/>
      <c r="U1266" s="156"/>
      <c r="V1266" s="82"/>
      <c r="W1266" s="151"/>
      <c r="X1266" s="82"/>
      <c r="Y1266" s="82"/>
      <c r="Z1266" s="82"/>
      <c r="AA1266" s="82"/>
      <c r="AB1266" s="145"/>
      <c r="AC1266" s="145"/>
      <c r="AD1266" s="145"/>
      <c r="AE1266" s="145"/>
      <c r="AF1266" s="145"/>
      <c r="AG1266" s="145"/>
      <c r="AH1266" s="145"/>
      <c r="AI1266" s="145"/>
      <c r="AJ1266" s="145"/>
      <c r="AK1266" s="145"/>
      <c r="AL1266" s="145"/>
      <c r="AM1266" s="145"/>
      <c r="AN1266" s="145"/>
      <c r="AO1266" s="145"/>
      <c r="AP1266" s="145"/>
      <c r="AQ1266" s="145"/>
      <c r="AR1266" s="145"/>
      <c r="AS1266" s="145"/>
      <c r="AT1266" s="145"/>
      <c r="AU1266" s="145"/>
      <c r="AV1266" s="146"/>
      <c r="AW1266" s="146"/>
      <c r="AX1266" s="146"/>
      <c r="AY1266" s="146"/>
      <c r="AZ1266" s="145"/>
      <c r="BA1266" s="146"/>
      <c r="BB1266" s="145"/>
      <c r="BC1266" s="145"/>
      <c r="BD1266" s="145"/>
      <c r="BE1266" s="145"/>
      <c r="BF1266" s="145"/>
      <c r="BG1266" s="145"/>
      <c r="BH1266" s="145"/>
      <c r="BI1266" s="145"/>
      <c r="BJ1266" s="145"/>
      <c r="BK1266" s="145"/>
    </row>
    <row r="1267" spans="1:63" s="147" customFormat="1" ht="15" x14ac:dyDescent="0.25">
      <c r="A1267" s="39" t="s">
        <v>835</v>
      </c>
      <c r="B1267" s="97" t="s">
        <v>65</v>
      </c>
      <c r="C1267" s="103" t="s">
        <v>66</v>
      </c>
      <c r="D1267" s="103"/>
      <c r="E1267" s="103"/>
      <c r="F1267" s="103"/>
      <c r="G1267" s="103"/>
      <c r="H1267" s="41" t="s">
        <v>67</v>
      </c>
      <c r="I1267" s="42">
        <v>6.5805999999999996</v>
      </c>
      <c r="J1267" s="43">
        <v>1</v>
      </c>
      <c r="K1267" s="44">
        <v>6.5805999999999996</v>
      </c>
      <c r="L1267" s="61">
        <v>68.290000000000006</v>
      </c>
      <c r="M1267" s="62">
        <v>1.72</v>
      </c>
      <c r="N1267" s="61">
        <v>117.46</v>
      </c>
      <c r="O1267" s="42"/>
      <c r="P1267" s="50">
        <v>888.90885561497316</v>
      </c>
      <c r="Q1267" s="82"/>
      <c r="R1267" s="82"/>
      <c r="S1267" s="82"/>
      <c r="T1267" s="165"/>
      <c r="U1267" s="167"/>
      <c r="V1267" s="82"/>
      <c r="W1267" s="151"/>
      <c r="X1267" s="82"/>
      <c r="Y1267" s="82"/>
      <c r="Z1267" s="82"/>
      <c r="AA1267" s="82"/>
      <c r="AB1267" s="145"/>
      <c r="AC1267" s="145"/>
      <c r="AD1267" s="145"/>
      <c r="AE1267" s="145"/>
      <c r="AF1267" s="145"/>
      <c r="AG1267" s="145"/>
      <c r="AH1267" s="145"/>
      <c r="AI1267" s="145"/>
      <c r="AJ1267" s="145"/>
      <c r="AK1267" s="145"/>
      <c r="AL1267" s="145"/>
      <c r="AM1267" s="145"/>
      <c r="AN1267" s="145"/>
      <c r="AO1267" s="145"/>
      <c r="AP1267" s="145"/>
      <c r="AQ1267" s="145"/>
      <c r="AR1267" s="145"/>
      <c r="AS1267" s="145"/>
      <c r="AT1267" s="145"/>
      <c r="AU1267" s="145"/>
      <c r="AV1267" s="146"/>
      <c r="AW1267" s="146"/>
      <c r="AX1267" s="146"/>
      <c r="AY1267" s="146"/>
      <c r="AZ1267" s="145"/>
      <c r="BA1267" s="146"/>
      <c r="BB1267" s="145"/>
      <c r="BC1267" s="145"/>
      <c r="BD1267" s="145"/>
      <c r="BE1267" s="145"/>
      <c r="BF1267" s="145"/>
      <c r="BG1267" s="145"/>
      <c r="BH1267" s="145"/>
      <c r="BI1267" s="145"/>
      <c r="BJ1267" s="145"/>
      <c r="BK1267" s="145"/>
    </row>
    <row r="1268" spans="1:63" s="147" customFormat="1" ht="15" x14ac:dyDescent="0.25">
      <c r="A1268" s="59"/>
      <c r="B1268" s="98"/>
      <c r="C1268" s="102" t="s">
        <v>63</v>
      </c>
      <c r="D1268" s="102"/>
      <c r="E1268" s="102"/>
      <c r="F1268" s="102"/>
      <c r="G1268" s="102"/>
      <c r="H1268" s="41"/>
      <c r="I1268" s="42"/>
      <c r="J1268" s="42"/>
      <c r="K1268" s="42"/>
      <c r="L1268" s="45"/>
      <c r="M1268" s="42"/>
      <c r="N1268" s="45"/>
      <c r="O1268" s="42"/>
      <c r="P1268" s="50">
        <v>888.90885561497316</v>
      </c>
      <c r="Q1268" s="82"/>
      <c r="R1268" s="82"/>
      <c r="S1268" s="82"/>
      <c r="T1268" s="165"/>
      <c r="U1268" s="167"/>
      <c r="V1268" s="82"/>
      <c r="W1268" s="166"/>
      <c r="X1268" s="82"/>
      <c r="Y1268" s="82"/>
      <c r="Z1268" s="82"/>
      <c r="AA1268" s="82"/>
      <c r="AB1268" s="145"/>
      <c r="AC1268" s="145"/>
      <c r="AD1268" s="145"/>
      <c r="AE1268" s="145"/>
      <c r="AF1268" s="145"/>
      <c r="AG1268" s="145"/>
      <c r="AH1268" s="145"/>
      <c r="AI1268" s="145"/>
      <c r="AJ1268" s="145"/>
      <c r="AK1268" s="145"/>
      <c r="AL1268" s="145"/>
      <c r="AM1268" s="145"/>
      <c r="AN1268" s="145"/>
      <c r="AO1268" s="145"/>
      <c r="AP1268" s="145"/>
      <c r="AQ1268" s="145"/>
      <c r="AR1268" s="145"/>
      <c r="AS1268" s="145"/>
      <c r="AT1268" s="145"/>
      <c r="AU1268" s="145"/>
      <c r="AV1268" s="146"/>
      <c r="AW1268" s="146"/>
      <c r="AX1268" s="146"/>
      <c r="AY1268" s="146"/>
      <c r="AZ1268" s="145"/>
      <c r="BA1268" s="146"/>
      <c r="BB1268" s="145"/>
      <c r="BC1268" s="145"/>
      <c r="BD1268" s="145"/>
      <c r="BE1268" s="145"/>
      <c r="BF1268" s="145"/>
      <c r="BG1268" s="145"/>
      <c r="BH1268" s="145"/>
      <c r="BI1268" s="145"/>
      <c r="BJ1268" s="145"/>
      <c r="BK1268" s="145"/>
    </row>
    <row r="1269" spans="1:63" s="147" customFormat="1" ht="15" x14ac:dyDescent="0.25">
      <c r="A1269" s="39" t="s">
        <v>836</v>
      </c>
      <c r="B1269" s="97" t="s">
        <v>69</v>
      </c>
      <c r="C1269" s="103" t="s">
        <v>70</v>
      </c>
      <c r="D1269" s="103"/>
      <c r="E1269" s="103"/>
      <c r="F1269" s="103"/>
      <c r="G1269" s="103"/>
      <c r="H1269" s="41" t="s">
        <v>71</v>
      </c>
      <c r="I1269" s="42">
        <v>3.8709E-3</v>
      </c>
      <c r="J1269" s="43">
        <v>1</v>
      </c>
      <c r="K1269" s="64">
        <v>3.8709E-3</v>
      </c>
      <c r="L1269" s="49">
        <v>52265.82</v>
      </c>
      <c r="M1269" s="62">
        <v>1.81</v>
      </c>
      <c r="N1269" s="49">
        <v>94601.13</v>
      </c>
      <c r="O1269" s="42"/>
      <c r="P1269" s="50">
        <v>421.11849999999998</v>
      </c>
      <c r="Q1269" s="82"/>
      <c r="R1269" s="82"/>
      <c r="S1269" s="82"/>
      <c r="T1269" s="165"/>
      <c r="U1269" s="167"/>
      <c r="V1269" s="82"/>
      <c r="W1269" s="151"/>
      <c r="X1269" s="82"/>
      <c r="Y1269" s="82"/>
      <c r="Z1269" s="82"/>
      <c r="AA1269" s="82"/>
      <c r="AB1269" s="145"/>
      <c r="AC1269" s="145"/>
      <c r="AD1269" s="145"/>
      <c r="AE1269" s="145"/>
      <c r="AF1269" s="145"/>
      <c r="AG1269" s="145"/>
      <c r="AH1269" s="145"/>
      <c r="AI1269" s="145"/>
      <c r="AJ1269" s="145"/>
      <c r="AK1269" s="145"/>
      <c r="AL1269" s="145"/>
      <c r="AM1269" s="145"/>
      <c r="AN1269" s="145"/>
      <c r="AO1269" s="145"/>
      <c r="AP1269" s="145"/>
      <c r="AQ1269" s="145"/>
      <c r="AR1269" s="145"/>
      <c r="AS1269" s="145"/>
      <c r="AT1269" s="145"/>
      <c r="AU1269" s="145"/>
      <c r="AV1269" s="146"/>
      <c r="AW1269" s="146"/>
      <c r="AX1269" s="146"/>
      <c r="AY1269" s="146"/>
      <c r="AZ1269" s="145"/>
      <c r="BA1269" s="146"/>
      <c r="BB1269" s="145"/>
      <c r="BC1269" s="145"/>
      <c r="BD1269" s="145"/>
      <c r="BE1269" s="145"/>
      <c r="BF1269" s="145"/>
      <c r="BG1269" s="145"/>
      <c r="BH1269" s="145"/>
      <c r="BI1269" s="145"/>
      <c r="BJ1269" s="145"/>
      <c r="BK1269" s="145"/>
    </row>
    <row r="1270" spans="1:63" s="147" customFormat="1" ht="15" x14ac:dyDescent="0.25">
      <c r="A1270" s="59"/>
      <c r="B1270" s="98"/>
      <c r="C1270" s="102" t="s">
        <v>63</v>
      </c>
      <c r="D1270" s="102"/>
      <c r="E1270" s="102"/>
      <c r="F1270" s="102"/>
      <c r="G1270" s="102"/>
      <c r="H1270" s="41"/>
      <c r="I1270" s="42"/>
      <c r="J1270" s="42"/>
      <c r="K1270" s="42"/>
      <c r="L1270" s="45"/>
      <c r="M1270" s="42"/>
      <c r="N1270" s="45"/>
      <c r="O1270" s="42"/>
      <c r="P1270" s="50">
        <v>421.11849999999998</v>
      </c>
      <c r="Q1270" s="82"/>
      <c r="R1270" s="82"/>
      <c r="S1270" s="82"/>
      <c r="T1270" s="165"/>
      <c r="U1270" s="167"/>
      <c r="V1270" s="82"/>
      <c r="W1270" s="169"/>
      <c r="X1270" s="82"/>
      <c r="Y1270" s="82"/>
      <c r="Z1270" s="82"/>
      <c r="AA1270" s="82"/>
      <c r="AB1270" s="145"/>
      <c r="AC1270" s="145"/>
      <c r="AD1270" s="145"/>
      <c r="AE1270" s="145"/>
      <c r="AF1270" s="145"/>
      <c r="AG1270" s="145"/>
      <c r="AH1270" s="145"/>
      <c r="AI1270" s="145"/>
      <c r="AJ1270" s="145"/>
      <c r="AK1270" s="145"/>
      <c r="AL1270" s="145"/>
      <c r="AM1270" s="145"/>
      <c r="AN1270" s="145"/>
      <c r="AO1270" s="145"/>
      <c r="AP1270" s="145"/>
      <c r="AQ1270" s="145"/>
      <c r="AR1270" s="145"/>
      <c r="AS1270" s="145"/>
      <c r="AT1270" s="145"/>
      <c r="AU1270" s="145"/>
      <c r="AV1270" s="146"/>
      <c r="AW1270" s="146"/>
      <c r="AX1270" s="146"/>
      <c r="AY1270" s="146"/>
      <c r="AZ1270" s="145"/>
      <c r="BA1270" s="146"/>
      <c r="BB1270" s="145"/>
      <c r="BC1270" s="145"/>
      <c r="BD1270" s="145"/>
      <c r="BE1270" s="145"/>
      <c r="BF1270" s="145"/>
      <c r="BG1270" s="145"/>
      <c r="BH1270" s="145"/>
      <c r="BI1270" s="145"/>
      <c r="BJ1270" s="145"/>
      <c r="BK1270" s="145"/>
    </row>
    <row r="1271" spans="1:63" s="147" customFormat="1" ht="15" x14ac:dyDescent="0.25">
      <c r="A1271" s="39" t="s">
        <v>837</v>
      </c>
      <c r="B1271" s="97" t="s">
        <v>73</v>
      </c>
      <c r="C1271" s="103" t="s">
        <v>74</v>
      </c>
      <c r="D1271" s="103"/>
      <c r="E1271" s="103"/>
      <c r="F1271" s="103"/>
      <c r="G1271" s="103"/>
      <c r="H1271" s="41" t="s">
        <v>75</v>
      </c>
      <c r="I1271" s="42">
        <v>0.02</v>
      </c>
      <c r="J1271" s="43">
        <v>1</v>
      </c>
      <c r="K1271" s="62">
        <v>0.02</v>
      </c>
      <c r="L1271" s="45"/>
      <c r="M1271" s="42"/>
      <c r="N1271" s="45"/>
      <c r="O1271" s="42"/>
      <c r="P1271" s="50">
        <v>0</v>
      </c>
      <c r="Q1271" s="82"/>
      <c r="R1271" s="82"/>
      <c r="S1271" s="82"/>
      <c r="T1271" s="165"/>
      <c r="U1271" s="153"/>
      <c r="V1271" s="82"/>
      <c r="W1271" s="151"/>
      <c r="X1271" s="82"/>
      <c r="Y1271" s="82"/>
      <c r="Z1271" s="82"/>
      <c r="AA1271" s="82"/>
      <c r="AB1271" s="145"/>
      <c r="AC1271" s="145"/>
      <c r="AD1271" s="145"/>
      <c r="AE1271" s="145"/>
      <c r="AF1271" s="145"/>
      <c r="AG1271" s="145"/>
      <c r="AH1271" s="145"/>
      <c r="AI1271" s="145"/>
      <c r="AJ1271" s="145"/>
      <c r="AK1271" s="145"/>
      <c r="AL1271" s="145"/>
      <c r="AM1271" s="145"/>
      <c r="AN1271" s="145"/>
      <c r="AO1271" s="145"/>
      <c r="AP1271" s="145"/>
      <c r="AQ1271" s="145"/>
      <c r="AR1271" s="145"/>
      <c r="AS1271" s="145"/>
      <c r="AT1271" s="145"/>
      <c r="AU1271" s="145"/>
      <c r="AV1271" s="146"/>
      <c r="AW1271" s="146"/>
      <c r="AX1271" s="146"/>
      <c r="AY1271" s="146"/>
      <c r="AZ1271" s="145"/>
      <c r="BA1271" s="146"/>
      <c r="BB1271" s="145"/>
      <c r="BC1271" s="145"/>
      <c r="BD1271" s="145"/>
      <c r="BE1271" s="145"/>
      <c r="BF1271" s="145"/>
      <c r="BG1271" s="145"/>
      <c r="BH1271" s="145"/>
      <c r="BI1271" s="145"/>
      <c r="BJ1271" s="145"/>
      <c r="BK1271" s="145"/>
    </row>
    <row r="1272" spans="1:63" s="147" customFormat="1" ht="15" x14ac:dyDescent="0.25">
      <c r="A1272" s="47"/>
      <c r="B1272" s="48"/>
      <c r="C1272" s="102" t="s">
        <v>56</v>
      </c>
      <c r="D1272" s="102"/>
      <c r="E1272" s="102"/>
      <c r="F1272" s="102"/>
      <c r="G1272" s="102"/>
      <c r="H1272" s="41"/>
      <c r="I1272" s="42"/>
      <c r="J1272" s="42"/>
      <c r="K1272" s="42"/>
      <c r="L1272" s="45"/>
      <c r="M1272" s="42"/>
      <c r="N1272" s="49"/>
      <c r="O1272" s="42"/>
      <c r="P1272" s="50">
        <v>1555.3405</v>
      </c>
      <c r="Q1272" s="157"/>
      <c r="R1272" s="157"/>
      <c r="S1272" s="82"/>
      <c r="T1272" s="165"/>
      <c r="U1272" s="156"/>
      <c r="V1272" s="82"/>
      <c r="W1272" s="168"/>
      <c r="X1272" s="82"/>
      <c r="Y1272" s="82"/>
      <c r="Z1272" s="82"/>
      <c r="AA1272" s="82"/>
      <c r="AB1272" s="145"/>
      <c r="AC1272" s="145"/>
      <c r="AD1272" s="145"/>
      <c r="AE1272" s="145"/>
      <c r="AF1272" s="145"/>
      <c r="AG1272" s="145"/>
      <c r="AH1272" s="145"/>
      <c r="AI1272" s="145"/>
      <c r="AJ1272" s="145"/>
      <c r="AK1272" s="145"/>
      <c r="AL1272" s="145"/>
      <c r="AM1272" s="145"/>
      <c r="AN1272" s="145"/>
      <c r="AO1272" s="145"/>
      <c r="AP1272" s="145"/>
      <c r="AQ1272" s="145"/>
      <c r="AR1272" s="145"/>
      <c r="AS1272" s="145"/>
      <c r="AT1272" s="145"/>
      <c r="AU1272" s="145"/>
      <c r="AV1272" s="146"/>
      <c r="AW1272" s="146"/>
      <c r="AX1272" s="146"/>
      <c r="AY1272" s="146"/>
      <c r="AZ1272" s="145"/>
      <c r="BA1272" s="146"/>
      <c r="BB1272" s="145"/>
      <c r="BC1272" s="145"/>
      <c r="BD1272" s="145"/>
      <c r="BE1272" s="145"/>
      <c r="BF1272" s="145"/>
      <c r="BG1272" s="145"/>
      <c r="BH1272" s="145"/>
      <c r="BI1272" s="145"/>
      <c r="BJ1272" s="145"/>
      <c r="BK1272" s="145"/>
    </row>
    <row r="1273" spans="1:63" s="147" customFormat="1" ht="15" x14ac:dyDescent="0.25">
      <c r="A1273" s="52"/>
      <c r="B1273" s="53"/>
      <c r="C1273" s="104" t="s">
        <v>57</v>
      </c>
      <c r="D1273" s="104"/>
      <c r="E1273" s="104"/>
      <c r="F1273" s="104"/>
      <c r="G1273" s="104"/>
      <c r="H1273" s="54"/>
      <c r="I1273" s="55"/>
      <c r="J1273" s="55"/>
      <c r="K1273" s="55"/>
      <c r="L1273" s="56"/>
      <c r="M1273" s="55"/>
      <c r="N1273" s="56"/>
      <c r="O1273" s="55"/>
      <c r="P1273" s="77">
        <v>1555.2484999999999</v>
      </c>
      <c r="Q1273" s="82"/>
      <c r="R1273" s="82"/>
      <c r="S1273" s="82"/>
      <c r="T1273" s="165"/>
      <c r="U1273" s="163"/>
      <c r="V1273" s="82"/>
      <c r="W1273" s="151"/>
      <c r="X1273" s="82"/>
      <c r="Y1273" s="82"/>
      <c r="Z1273" s="82"/>
      <c r="AA1273" s="82"/>
      <c r="AB1273" s="145"/>
      <c r="AC1273" s="145"/>
      <c r="AD1273" s="145"/>
      <c r="AE1273" s="145"/>
      <c r="AF1273" s="145"/>
      <c r="AG1273" s="145"/>
      <c r="AH1273" s="145"/>
      <c r="AI1273" s="145"/>
      <c r="AJ1273" s="145"/>
      <c r="AK1273" s="145"/>
      <c r="AL1273" s="145"/>
      <c r="AM1273" s="145"/>
      <c r="AN1273" s="145"/>
      <c r="AO1273" s="145"/>
      <c r="AP1273" s="145"/>
      <c r="AQ1273" s="145"/>
      <c r="AR1273" s="145"/>
      <c r="AS1273" s="145"/>
      <c r="AT1273" s="145"/>
      <c r="AU1273" s="145"/>
      <c r="AV1273" s="146"/>
      <c r="AW1273" s="146"/>
      <c r="AX1273" s="146"/>
      <c r="AY1273" s="146"/>
      <c r="AZ1273" s="145"/>
      <c r="BA1273" s="146"/>
      <c r="BB1273" s="145"/>
      <c r="BC1273" s="145"/>
      <c r="BD1273" s="145"/>
      <c r="BE1273" s="145"/>
      <c r="BF1273" s="145"/>
      <c r="BG1273" s="145"/>
      <c r="BH1273" s="145"/>
      <c r="BI1273" s="145"/>
      <c r="BJ1273" s="145"/>
      <c r="BK1273" s="145"/>
    </row>
    <row r="1274" spans="1:63" s="147" customFormat="1" ht="15" x14ac:dyDescent="0.25">
      <c r="A1274" s="52"/>
      <c r="B1274" s="53" t="s">
        <v>76</v>
      </c>
      <c r="C1274" s="104" t="s">
        <v>77</v>
      </c>
      <c r="D1274" s="104"/>
      <c r="E1274" s="104"/>
      <c r="F1274" s="104"/>
      <c r="G1274" s="104"/>
      <c r="H1274" s="54" t="s">
        <v>60</v>
      </c>
      <c r="I1274" s="58">
        <v>91</v>
      </c>
      <c r="J1274" s="55"/>
      <c r="K1274" s="58">
        <v>91</v>
      </c>
      <c r="L1274" s="56"/>
      <c r="M1274" s="55"/>
      <c r="N1274" s="56"/>
      <c r="O1274" s="55"/>
      <c r="P1274" s="77">
        <v>1415.2705000000001</v>
      </c>
      <c r="Q1274" s="82"/>
      <c r="R1274" s="82"/>
      <c r="S1274" s="82"/>
      <c r="T1274" s="165"/>
      <c r="U1274" s="163"/>
      <c r="V1274" s="82"/>
      <c r="W1274" s="160"/>
      <c r="X1274" s="82"/>
      <c r="Y1274" s="82"/>
      <c r="Z1274" s="82"/>
      <c r="AA1274" s="82"/>
      <c r="AB1274" s="145"/>
      <c r="AC1274" s="145"/>
      <c r="AD1274" s="145"/>
      <c r="AE1274" s="145"/>
      <c r="AF1274" s="145"/>
      <c r="AG1274" s="145"/>
      <c r="AH1274" s="145"/>
      <c r="AI1274" s="145"/>
      <c r="AJ1274" s="145"/>
      <c r="AK1274" s="145"/>
      <c r="AL1274" s="145"/>
      <c r="AM1274" s="145"/>
      <c r="AN1274" s="145"/>
      <c r="AO1274" s="145"/>
      <c r="AP1274" s="145"/>
      <c r="AQ1274" s="145"/>
      <c r="AR1274" s="145"/>
      <c r="AS1274" s="145"/>
      <c r="AT1274" s="145"/>
      <c r="AU1274" s="145"/>
      <c r="AV1274" s="146"/>
      <c r="AW1274" s="146"/>
      <c r="AX1274" s="146"/>
      <c r="AY1274" s="146"/>
      <c r="AZ1274" s="145"/>
      <c r="BA1274" s="146"/>
      <c r="BB1274" s="145"/>
      <c r="BC1274" s="145"/>
      <c r="BD1274" s="145"/>
      <c r="BE1274" s="145"/>
      <c r="BF1274" s="145"/>
      <c r="BG1274" s="145"/>
      <c r="BH1274" s="145"/>
      <c r="BI1274" s="145"/>
      <c r="BJ1274" s="145"/>
      <c r="BK1274" s="145"/>
    </row>
    <row r="1275" spans="1:63" s="147" customFormat="1" ht="15" x14ac:dyDescent="0.25">
      <c r="A1275" s="52"/>
      <c r="B1275" s="53" t="s">
        <v>78</v>
      </c>
      <c r="C1275" s="104" t="s">
        <v>79</v>
      </c>
      <c r="D1275" s="104"/>
      <c r="E1275" s="104"/>
      <c r="F1275" s="104"/>
      <c r="G1275" s="104"/>
      <c r="H1275" s="54" t="s">
        <v>60</v>
      </c>
      <c r="I1275" s="58">
        <v>48</v>
      </c>
      <c r="J1275" s="55"/>
      <c r="K1275" s="58">
        <v>48</v>
      </c>
      <c r="L1275" s="56"/>
      <c r="M1275" s="55"/>
      <c r="N1275" s="56"/>
      <c r="O1275" s="55"/>
      <c r="P1275" s="77">
        <v>746.52249999999992</v>
      </c>
      <c r="Q1275" s="82"/>
      <c r="R1275" s="82"/>
      <c r="S1275" s="82"/>
      <c r="T1275" s="165"/>
      <c r="U1275" s="170"/>
      <c r="V1275" s="82"/>
      <c r="W1275" s="164"/>
      <c r="X1275" s="82"/>
      <c r="Y1275" s="82"/>
      <c r="Z1275" s="82"/>
      <c r="AA1275" s="82"/>
      <c r="AB1275" s="145"/>
      <c r="AC1275" s="145"/>
      <c r="AD1275" s="145"/>
      <c r="AE1275" s="145"/>
      <c r="AF1275" s="145"/>
      <c r="AG1275" s="145"/>
      <c r="AH1275" s="145"/>
      <c r="AI1275" s="145"/>
      <c r="AJ1275" s="145"/>
      <c r="AK1275" s="145"/>
      <c r="AL1275" s="145"/>
      <c r="AM1275" s="145"/>
      <c r="AN1275" s="145"/>
      <c r="AO1275" s="145"/>
      <c r="AP1275" s="145"/>
      <c r="AQ1275" s="145"/>
      <c r="AR1275" s="145"/>
      <c r="AS1275" s="145"/>
      <c r="AT1275" s="145"/>
      <c r="AU1275" s="145"/>
      <c r="AV1275" s="146"/>
      <c r="AW1275" s="146"/>
      <c r="AX1275" s="146"/>
      <c r="AY1275" s="146"/>
      <c r="AZ1275" s="145"/>
      <c r="BA1275" s="146"/>
      <c r="BB1275" s="145"/>
      <c r="BC1275" s="145"/>
      <c r="BD1275" s="145"/>
      <c r="BE1275" s="145"/>
      <c r="BF1275" s="145"/>
      <c r="BG1275" s="145"/>
      <c r="BH1275" s="145"/>
      <c r="BI1275" s="145"/>
      <c r="BJ1275" s="145"/>
      <c r="BK1275" s="145"/>
    </row>
    <row r="1276" spans="1:63" s="147" customFormat="1" ht="15" x14ac:dyDescent="0.25">
      <c r="A1276" s="59"/>
      <c r="B1276" s="98"/>
      <c r="C1276" s="102" t="s">
        <v>63</v>
      </c>
      <c r="D1276" s="102"/>
      <c r="E1276" s="102"/>
      <c r="F1276" s="102"/>
      <c r="G1276" s="102"/>
      <c r="H1276" s="41"/>
      <c r="I1276" s="42"/>
      <c r="J1276" s="42"/>
      <c r="K1276" s="42"/>
      <c r="L1276" s="45"/>
      <c r="M1276" s="42"/>
      <c r="N1276" s="49">
        <v>161614.5</v>
      </c>
      <c r="O1276" s="42"/>
      <c r="P1276" s="50">
        <v>3717.1334999999995</v>
      </c>
      <c r="Q1276" s="82"/>
      <c r="R1276" s="82"/>
      <c r="S1276" s="82"/>
      <c r="T1276" s="165"/>
      <c r="U1276" s="156"/>
      <c r="V1276" s="82"/>
      <c r="W1276" s="164"/>
      <c r="X1276" s="82"/>
      <c r="Y1276" s="82"/>
      <c r="Z1276" s="82"/>
      <c r="AA1276" s="82"/>
      <c r="AB1276" s="145"/>
      <c r="AC1276" s="145"/>
      <c r="AD1276" s="145"/>
      <c r="AE1276" s="145"/>
      <c r="AF1276" s="145"/>
      <c r="AG1276" s="145"/>
      <c r="AH1276" s="145"/>
      <c r="AI1276" s="145"/>
      <c r="AJ1276" s="145"/>
      <c r="AK1276" s="145"/>
      <c r="AL1276" s="145"/>
      <c r="AM1276" s="145"/>
      <c r="AN1276" s="145"/>
      <c r="AO1276" s="145"/>
      <c r="AP1276" s="145"/>
      <c r="AQ1276" s="145"/>
      <c r="AR1276" s="145"/>
      <c r="AS1276" s="145"/>
      <c r="AT1276" s="145"/>
      <c r="AU1276" s="145"/>
      <c r="AV1276" s="146"/>
      <c r="AW1276" s="146"/>
      <c r="AX1276" s="146"/>
      <c r="AY1276" s="146"/>
      <c r="AZ1276" s="145"/>
      <c r="BA1276" s="146"/>
      <c r="BB1276" s="145"/>
      <c r="BC1276" s="145"/>
      <c r="BD1276" s="145"/>
      <c r="BE1276" s="145"/>
      <c r="BF1276" s="145"/>
      <c r="BG1276" s="145"/>
      <c r="BH1276" s="145"/>
      <c r="BI1276" s="145"/>
      <c r="BJ1276" s="145"/>
      <c r="BK1276" s="145"/>
    </row>
    <row r="1277" spans="1:63" s="147" customFormat="1" ht="15" x14ac:dyDescent="0.25">
      <c r="A1277" s="39" t="s">
        <v>838</v>
      </c>
      <c r="B1277" s="97" t="s">
        <v>81</v>
      </c>
      <c r="C1277" s="103" t="s">
        <v>82</v>
      </c>
      <c r="D1277" s="103"/>
      <c r="E1277" s="103"/>
      <c r="F1277" s="103"/>
      <c r="G1277" s="103"/>
      <c r="H1277" s="41" t="s">
        <v>83</v>
      </c>
      <c r="I1277" s="42">
        <v>2</v>
      </c>
      <c r="J1277" s="43">
        <v>1</v>
      </c>
      <c r="K1277" s="43">
        <v>2</v>
      </c>
      <c r="L1277" s="49">
        <v>3579.75</v>
      </c>
      <c r="M1277" s="62">
        <v>1.41</v>
      </c>
      <c r="N1277" s="49">
        <v>5047.45</v>
      </c>
      <c r="O1277" s="42"/>
      <c r="P1277" s="50">
        <v>11609.134999999998</v>
      </c>
      <c r="Q1277" s="82"/>
      <c r="R1277" s="82"/>
      <c r="S1277" s="82"/>
      <c r="T1277" s="82"/>
      <c r="U1277" s="156"/>
      <c r="V1277" s="82"/>
      <c r="W1277" s="151"/>
      <c r="X1277" s="82"/>
      <c r="Y1277" s="82"/>
      <c r="Z1277" s="82"/>
      <c r="AA1277" s="82"/>
      <c r="AB1277" s="145"/>
      <c r="AC1277" s="145"/>
      <c r="AD1277" s="145"/>
      <c r="AE1277" s="145"/>
      <c r="AF1277" s="145"/>
      <c r="AG1277" s="145"/>
      <c r="AH1277" s="145"/>
      <c r="AI1277" s="145"/>
      <c r="AJ1277" s="145"/>
      <c r="AK1277" s="145"/>
      <c r="AL1277" s="145"/>
      <c r="AM1277" s="145"/>
      <c r="AN1277" s="145"/>
      <c r="AO1277" s="145"/>
      <c r="AP1277" s="145"/>
      <c r="AQ1277" s="145"/>
      <c r="AR1277" s="145"/>
      <c r="AS1277" s="145"/>
      <c r="AT1277" s="145"/>
      <c r="AU1277" s="145"/>
      <c r="AV1277" s="146"/>
      <c r="AW1277" s="146"/>
      <c r="AX1277" s="146"/>
      <c r="AY1277" s="146"/>
      <c r="AZ1277" s="145"/>
      <c r="BA1277" s="146"/>
      <c r="BB1277" s="145"/>
      <c r="BC1277" s="145"/>
      <c r="BD1277" s="145"/>
      <c r="BE1277" s="145"/>
      <c r="BF1277" s="145"/>
      <c r="BG1277" s="145"/>
      <c r="BH1277" s="145"/>
      <c r="BI1277" s="145"/>
      <c r="BJ1277" s="145"/>
      <c r="BK1277" s="145"/>
    </row>
    <row r="1278" spans="1:63" s="147" customFormat="1" ht="15" x14ac:dyDescent="0.25">
      <c r="A1278" s="59"/>
      <c r="B1278" s="98"/>
      <c r="C1278" s="102" t="s">
        <v>63</v>
      </c>
      <c r="D1278" s="102"/>
      <c r="E1278" s="102"/>
      <c r="F1278" s="102"/>
      <c r="G1278" s="102"/>
      <c r="H1278" s="41"/>
      <c r="I1278" s="42"/>
      <c r="J1278" s="42"/>
      <c r="K1278" s="42"/>
      <c r="L1278" s="45"/>
      <c r="M1278" s="42"/>
      <c r="N1278" s="45"/>
      <c r="O1278" s="42"/>
      <c r="P1278" s="50">
        <v>11609.134999999998</v>
      </c>
      <c r="Q1278" s="82"/>
      <c r="R1278" s="82"/>
      <c r="S1278" s="82"/>
      <c r="T1278" s="82"/>
      <c r="U1278" s="156"/>
      <c r="V1278" s="82"/>
      <c r="W1278" s="152"/>
      <c r="X1278" s="82"/>
      <c r="Y1278" s="82"/>
      <c r="Z1278" s="82"/>
      <c r="AA1278" s="82"/>
      <c r="AB1278" s="145"/>
      <c r="AC1278" s="145"/>
      <c r="AD1278" s="145"/>
      <c r="AE1278" s="145"/>
      <c r="AF1278" s="145"/>
      <c r="AG1278" s="145"/>
      <c r="AH1278" s="145"/>
      <c r="AI1278" s="145"/>
      <c r="AJ1278" s="145"/>
      <c r="AK1278" s="145"/>
      <c r="AL1278" s="145"/>
      <c r="AM1278" s="145"/>
      <c r="AN1278" s="145"/>
      <c r="AO1278" s="145"/>
      <c r="AP1278" s="145"/>
      <c r="AQ1278" s="145"/>
      <c r="AR1278" s="145"/>
      <c r="AS1278" s="145"/>
      <c r="AT1278" s="145"/>
      <c r="AU1278" s="145"/>
      <c r="AV1278" s="146"/>
      <c r="AW1278" s="146"/>
      <c r="AX1278" s="146"/>
      <c r="AY1278" s="146"/>
      <c r="AZ1278" s="145"/>
      <c r="BA1278" s="146"/>
      <c r="BB1278" s="145"/>
      <c r="BC1278" s="145"/>
      <c r="BD1278" s="145"/>
      <c r="BE1278" s="145"/>
      <c r="BF1278" s="145"/>
      <c r="BG1278" s="145"/>
      <c r="BH1278" s="145"/>
      <c r="BI1278" s="145"/>
      <c r="BJ1278" s="145"/>
      <c r="BK1278" s="145"/>
    </row>
    <row r="1279" spans="1:63" s="147" customFormat="1" ht="15" x14ac:dyDescent="0.25">
      <c r="A1279" s="39" t="s">
        <v>839</v>
      </c>
      <c r="B1279" s="97" t="s">
        <v>85</v>
      </c>
      <c r="C1279" s="103" t="s">
        <v>86</v>
      </c>
      <c r="D1279" s="103"/>
      <c r="E1279" s="103"/>
      <c r="F1279" s="103"/>
      <c r="G1279" s="103"/>
      <c r="H1279" s="41" t="s">
        <v>75</v>
      </c>
      <c r="I1279" s="42">
        <v>0.02</v>
      </c>
      <c r="J1279" s="43">
        <v>1</v>
      </c>
      <c r="K1279" s="62">
        <v>0.02</v>
      </c>
      <c r="L1279" s="45"/>
      <c r="M1279" s="42"/>
      <c r="N1279" s="45"/>
      <c r="O1279" s="42"/>
      <c r="P1279" s="50"/>
      <c r="Q1279" s="82"/>
      <c r="R1279" s="82"/>
      <c r="S1279" s="82"/>
      <c r="T1279" s="82"/>
      <c r="U1279" s="153"/>
      <c r="V1279" s="82"/>
      <c r="W1279" s="151"/>
      <c r="X1279" s="82"/>
      <c r="Y1279" s="82"/>
      <c r="Z1279" s="82"/>
      <c r="AA1279" s="82"/>
      <c r="AB1279" s="145"/>
      <c r="AC1279" s="145"/>
      <c r="AD1279" s="145"/>
      <c r="AE1279" s="145"/>
      <c r="AF1279" s="145"/>
      <c r="AG1279" s="145"/>
      <c r="AH1279" s="145"/>
      <c r="AI1279" s="145"/>
      <c r="AJ1279" s="145"/>
      <c r="AK1279" s="145"/>
      <c r="AL1279" s="145"/>
      <c r="AM1279" s="145"/>
      <c r="AN1279" s="145"/>
      <c r="AO1279" s="145"/>
      <c r="AP1279" s="145"/>
      <c r="AQ1279" s="145"/>
      <c r="AR1279" s="145"/>
      <c r="AS1279" s="145"/>
      <c r="AT1279" s="145"/>
      <c r="AU1279" s="145"/>
      <c r="AV1279" s="146"/>
      <c r="AW1279" s="146"/>
      <c r="AX1279" s="146"/>
      <c r="AY1279" s="146"/>
      <c r="AZ1279" s="145"/>
      <c r="BA1279" s="146"/>
      <c r="BB1279" s="145"/>
      <c r="BC1279" s="145"/>
      <c r="BD1279" s="145"/>
      <c r="BE1279" s="145"/>
      <c r="BF1279" s="145"/>
      <c r="BG1279" s="145"/>
      <c r="BH1279" s="145"/>
      <c r="BI1279" s="145"/>
      <c r="BJ1279" s="145"/>
      <c r="BK1279" s="145"/>
    </row>
    <row r="1280" spans="1:63" s="147" customFormat="1" ht="15" x14ac:dyDescent="0.25">
      <c r="A1280" s="47"/>
      <c r="B1280" s="48"/>
      <c r="C1280" s="102" t="s">
        <v>56</v>
      </c>
      <c r="D1280" s="102"/>
      <c r="E1280" s="102"/>
      <c r="F1280" s="102"/>
      <c r="G1280" s="102"/>
      <c r="H1280" s="41"/>
      <c r="I1280" s="42"/>
      <c r="J1280" s="42"/>
      <c r="K1280" s="42"/>
      <c r="L1280" s="45"/>
      <c r="M1280" s="42"/>
      <c r="N1280" s="49"/>
      <c r="O1280" s="42"/>
      <c r="P1280" s="50">
        <v>216.5795</v>
      </c>
      <c r="Q1280" s="157"/>
      <c r="R1280" s="157"/>
      <c r="S1280" s="82"/>
      <c r="T1280" s="82"/>
      <c r="U1280" s="156"/>
      <c r="V1280" s="82"/>
      <c r="W1280" s="168"/>
      <c r="X1280" s="82"/>
      <c r="Y1280" s="82"/>
      <c r="Z1280" s="82"/>
      <c r="AA1280" s="82"/>
      <c r="AB1280" s="145"/>
      <c r="AC1280" s="145"/>
      <c r="AD1280" s="145"/>
      <c r="AE1280" s="145"/>
      <c r="AF1280" s="145"/>
      <c r="AG1280" s="145"/>
      <c r="AH1280" s="145"/>
      <c r="AI1280" s="145"/>
      <c r="AJ1280" s="145"/>
      <c r="AK1280" s="145"/>
      <c r="AL1280" s="145"/>
      <c r="AM1280" s="145"/>
      <c r="AN1280" s="145"/>
      <c r="AO1280" s="145"/>
      <c r="AP1280" s="145"/>
      <c r="AQ1280" s="145"/>
      <c r="AR1280" s="145"/>
      <c r="AS1280" s="145"/>
      <c r="AT1280" s="145"/>
      <c r="AU1280" s="145"/>
      <c r="AV1280" s="146"/>
      <c r="AW1280" s="146"/>
      <c r="AX1280" s="146"/>
      <c r="AY1280" s="146"/>
      <c r="AZ1280" s="145"/>
      <c r="BA1280" s="146"/>
      <c r="BB1280" s="145"/>
      <c r="BC1280" s="145"/>
      <c r="BD1280" s="145"/>
      <c r="BE1280" s="145"/>
      <c r="BF1280" s="145"/>
      <c r="BG1280" s="145"/>
      <c r="BH1280" s="145"/>
      <c r="BI1280" s="145"/>
      <c r="BJ1280" s="145"/>
      <c r="BK1280" s="145"/>
    </row>
    <row r="1281" spans="1:63" s="147" customFormat="1" ht="15" x14ac:dyDescent="0.25">
      <c r="A1281" s="52"/>
      <c r="B1281" s="53"/>
      <c r="C1281" s="104" t="s">
        <v>57</v>
      </c>
      <c r="D1281" s="104"/>
      <c r="E1281" s="104"/>
      <c r="F1281" s="104"/>
      <c r="G1281" s="104"/>
      <c r="H1281" s="54"/>
      <c r="I1281" s="55"/>
      <c r="J1281" s="55"/>
      <c r="K1281" s="55"/>
      <c r="L1281" s="56"/>
      <c r="M1281" s="55"/>
      <c r="N1281" s="56"/>
      <c r="O1281" s="55"/>
      <c r="P1281" s="77">
        <v>216.5795</v>
      </c>
      <c r="Q1281" s="82"/>
      <c r="R1281" s="82"/>
      <c r="S1281" s="82"/>
      <c r="T1281" s="82"/>
      <c r="U1281" s="170"/>
      <c r="V1281" s="82"/>
      <c r="W1281" s="151"/>
      <c r="X1281" s="82"/>
      <c r="Y1281" s="82"/>
      <c r="Z1281" s="82"/>
      <c r="AA1281" s="82"/>
      <c r="AB1281" s="145"/>
      <c r="AC1281" s="145"/>
      <c r="AD1281" s="145"/>
      <c r="AE1281" s="145"/>
      <c r="AF1281" s="145"/>
      <c r="AG1281" s="145"/>
      <c r="AH1281" s="145"/>
      <c r="AI1281" s="145"/>
      <c r="AJ1281" s="145"/>
      <c r="AK1281" s="145"/>
      <c r="AL1281" s="145"/>
      <c r="AM1281" s="145"/>
      <c r="AN1281" s="145"/>
      <c r="AO1281" s="145"/>
      <c r="AP1281" s="145"/>
      <c r="AQ1281" s="145"/>
      <c r="AR1281" s="145"/>
      <c r="AS1281" s="145"/>
      <c r="AT1281" s="145"/>
      <c r="AU1281" s="145"/>
      <c r="AV1281" s="146"/>
      <c r="AW1281" s="146"/>
      <c r="AX1281" s="146"/>
      <c r="AY1281" s="146"/>
      <c r="AZ1281" s="145"/>
      <c r="BA1281" s="146"/>
      <c r="BB1281" s="145"/>
      <c r="BC1281" s="145"/>
      <c r="BD1281" s="145"/>
      <c r="BE1281" s="145"/>
      <c r="BF1281" s="145"/>
      <c r="BG1281" s="145"/>
      <c r="BH1281" s="145"/>
      <c r="BI1281" s="145"/>
      <c r="BJ1281" s="145"/>
      <c r="BK1281" s="145"/>
    </row>
    <row r="1282" spans="1:63" s="147" customFormat="1" ht="15" x14ac:dyDescent="0.25">
      <c r="A1282" s="52"/>
      <c r="B1282" s="53" t="s">
        <v>76</v>
      </c>
      <c r="C1282" s="104" t="s">
        <v>77</v>
      </c>
      <c r="D1282" s="104"/>
      <c r="E1282" s="104"/>
      <c r="F1282" s="104"/>
      <c r="G1282" s="104"/>
      <c r="H1282" s="54" t="s">
        <v>60</v>
      </c>
      <c r="I1282" s="58">
        <v>91</v>
      </c>
      <c r="J1282" s="55"/>
      <c r="K1282" s="58">
        <v>91</v>
      </c>
      <c r="L1282" s="56"/>
      <c r="M1282" s="55"/>
      <c r="N1282" s="56"/>
      <c r="O1282" s="55"/>
      <c r="P1282" s="77">
        <v>197.08699999999999</v>
      </c>
      <c r="Q1282" s="82"/>
      <c r="R1282" s="82"/>
      <c r="S1282" s="82"/>
      <c r="T1282" s="82"/>
      <c r="U1282" s="170"/>
      <c r="V1282" s="82"/>
      <c r="W1282" s="160"/>
      <c r="X1282" s="82"/>
      <c r="Y1282" s="82"/>
      <c r="Z1282" s="82"/>
      <c r="AA1282" s="82"/>
      <c r="AB1282" s="145"/>
      <c r="AC1282" s="145"/>
      <c r="AD1282" s="145"/>
      <c r="AE1282" s="145"/>
      <c r="AF1282" s="145"/>
      <c r="AG1282" s="145"/>
      <c r="AH1282" s="145"/>
      <c r="AI1282" s="145"/>
      <c r="AJ1282" s="145"/>
      <c r="AK1282" s="145"/>
      <c r="AL1282" s="145"/>
      <c r="AM1282" s="145"/>
      <c r="AN1282" s="145"/>
      <c r="AO1282" s="145"/>
      <c r="AP1282" s="145"/>
      <c r="AQ1282" s="145"/>
      <c r="AR1282" s="145"/>
      <c r="AS1282" s="145"/>
      <c r="AT1282" s="145"/>
      <c r="AU1282" s="145"/>
      <c r="AV1282" s="146"/>
      <c r="AW1282" s="146"/>
      <c r="AX1282" s="146"/>
      <c r="AY1282" s="146"/>
      <c r="AZ1282" s="145"/>
      <c r="BA1282" s="146"/>
      <c r="BB1282" s="145"/>
      <c r="BC1282" s="145"/>
      <c r="BD1282" s="145"/>
      <c r="BE1282" s="145"/>
      <c r="BF1282" s="145"/>
      <c r="BG1282" s="145"/>
      <c r="BH1282" s="145"/>
      <c r="BI1282" s="145"/>
      <c r="BJ1282" s="145"/>
      <c r="BK1282" s="145"/>
    </row>
    <row r="1283" spans="1:63" s="147" customFormat="1" ht="15" x14ac:dyDescent="0.25">
      <c r="A1283" s="52"/>
      <c r="B1283" s="53" t="s">
        <v>78</v>
      </c>
      <c r="C1283" s="104" t="s">
        <v>79</v>
      </c>
      <c r="D1283" s="104"/>
      <c r="E1283" s="104"/>
      <c r="F1283" s="104"/>
      <c r="G1283" s="104"/>
      <c r="H1283" s="54" t="s">
        <v>60</v>
      </c>
      <c r="I1283" s="58">
        <v>48</v>
      </c>
      <c r="J1283" s="55"/>
      <c r="K1283" s="58">
        <v>48</v>
      </c>
      <c r="L1283" s="56"/>
      <c r="M1283" s="55"/>
      <c r="N1283" s="56"/>
      <c r="O1283" s="55"/>
      <c r="P1283" s="77">
        <v>103.96</v>
      </c>
      <c r="Q1283" s="82"/>
      <c r="R1283" s="82"/>
      <c r="S1283" s="82"/>
      <c r="T1283" s="82"/>
      <c r="U1283" s="170"/>
      <c r="V1283" s="82"/>
      <c r="W1283" s="164"/>
      <c r="X1283" s="82"/>
      <c r="Y1283" s="82"/>
      <c r="Z1283" s="82"/>
      <c r="AA1283" s="82"/>
      <c r="AB1283" s="145"/>
      <c r="AC1283" s="145"/>
      <c r="AD1283" s="145"/>
      <c r="AE1283" s="145"/>
      <c r="AF1283" s="145"/>
      <c r="AG1283" s="145"/>
      <c r="AH1283" s="145"/>
      <c r="AI1283" s="145"/>
      <c r="AJ1283" s="145"/>
      <c r="AK1283" s="145"/>
      <c r="AL1283" s="145"/>
      <c r="AM1283" s="145"/>
      <c r="AN1283" s="145"/>
      <c r="AO1283" s="145"/>
      <c r="AP1283" s="145"/>
      <c r="AQ1283" s="145"/>
      <c r="AR1283" s="145"/>
      <c r="AS1283" s="145"/>
      <c r="AT1283" s="145"/>
      <c r="AU1283" s="145"/>
      <c r="AV1283" s="146"/>
      <c r="AW1283" s="146"/>
      <c r="AX1283" s="146"/>
      <c r="AY1283" s="146"/>
      <c r="AZ1283" s="145"/>
      <c r="BA1283" s="146"/>
      <c r="BB1283" s="145"/>
      <c r="BC1283" s="145"/>
      <c r="BD1283" s="145"/>
      <c r="BE1283" s="145"/>
      <c r="BF1283" s="145"/>
      <c r="BG1283" s="145"/>
      <c r="BH1283" s="145"/>
      <c r="BI1283" s="145"/>
      <c r="BJ1283" s="145"/>
      <c r="BK1283" s="145"/>
    </row>
    <row r="1284" spans="1:63" s="147" customFormat="1" ht="15" x14ac:dyDescent="0.25">
      <c r="A1284" s="59"/>
      <c r="B1284" s="98"/>
      <c r="C1284" s="102" t="s">
        <v>63</v>
      </c>
      <c r="D1284" s="102"/>
      <c r="E1284" s="102"/>
      <c r="F1284" s="102"/>
      <c r="G1284" s="102"/>
      <c r="H1284" s="41"/>
      <c r="I1284" s="42"/>
      <c r="J1284" s="42"/>
      <c r="K1284" s="42"/>
      <c r="L1284" s="45"/>
      <c r="M1284" s="42"/>
      <c r="N1284" s="49">
        <v>22505.5</v>
      </c>
      <c r="O1284" s="42"/>
      <c r="P1284" s="50">
        <v>517.62649999999996</v>
      </c>
      <c r="Q1284" s="82"/>
      <c r="R1284" s="82"/>
      <c r="S1284" s="82"/>
      <c r="T1284" s="82"/>
      <c r="U1284" s="167"/>
      <c r="V1284" s="82"/>
      <c r="W1284" s="164"/>
      <c r="X1284" s="82"/>
      <c r="Y1284" s="82"/>
      <c r="Z1284" s="82"/>
      <c r="AA1284" s="82"/>
      <c r="AB1284" s="145"/>
      <c r="AC1284" s="145"/>
      <c r="AD1284" s="145"/>
      <c r="AE1284" s="145"/>
      <c r="AF1284" s="145"/>
      <c r="AG1284" s="145"/>
      <c r="AH1284" s="145"/>
      <c r="AI1284" s="145"/>
      <c r="AJ1284" s="145"/>
      <c r="AK1284" s="145"/>
      <c r="AL1284" s="145"/>
      <c r="AM1284" s="145"/>
      <c r="AN1284" s="145"/>
      <c r="AO1284" s="145"/>
      <c r="AP1284" s="145"/>
      <c r="AQ1284" s="145"/>
      <c r="AR1284" s="145"/>
      <c r="AS1284" s="145"/>
      <c r="AT1284" s="145"/>
      <c r="AU1284" s="145"/>
      <c r="AV1284" s="146"/>
      <c r="AW1284" s="146"/>
      <c r="AX1284" s="146"/>
      <c r="AY1284" s="146"/>
      <c r="AZ1284" s="145"/>
      <c r="BA1284" s="146"/>
      <c r="BB1284" s="145"/>
      <c r="BC1284" s="145"/>
      <c r="BD1284" s="145"/>
      <c r="BE1284" s="145"/>
      <c r="BF1284" s="145"/>
      <c r="BG1284" s="145"/>
      <c r="BH1284" s="145"/>
      <c r="BI1284" s="145"/>
      <c r="BJ1284" s="145"/>
      <c r="BK1284" s="145"/>
    </row>
    <row r="1285" spans="1:63" s="147" customFormat="1" ht="15" x14ac:dyDescent="0.25">
      <c r="A1285" s="39" t="s">
        <v>840</v>
      </c>
      <c r="B1285" s="97" t="s">
        <v>88</v>
      </c>
      <c r="C1285" s="103" t="s">
        <v>89</v>
      </c>
      <c r="D1285" s="103"/>
      <c r="E1285" s="103"/>
      <c r="F1285" s="103"/>
      <c r="G1285" s="103"/>
      <c r="H1285" s="41" t="s">
        <v>83</v>
      </c>
      <c r="I1285" s="42">
        <v>2</v>
      </c>
      <c r="J1285" s="43">
        <v>1</v>
      </c>
      <c r="K1285" s="43">
        <v>2</v>
      </c>
      <c r="L1285" s="61">
        <v>42.54</v>
      </c>
      <c r="M1285" s="62">
        <v>1.42</v>
      </c>
      <c r="N1285" s="61">
        <v>60.41</v>
      </c>
      <c r="O1285" s="42"/>
      <c r="P1285" s="50">
        <v>138.94299999999998</v>
      </c>
      <c r="Q1285" s="82"/>
      <c r="R1285" s="82"/>
      <c r="S1285" s="82"/>
      <c r="T1285" s="82"/>
      <c r="U1285" s="167"/>
      <c r="V1285" s="82"/>
      <c r="W1285" s="151"/>
      <c r="X1285" s="82"/>
      <c r="Y1285" s="82"/>
      <c r="Z1285" s="82"/>
      <c r="AA1285" s="82"/>
      <c r="AB1285" s="145"/>
      <c r="AC1285" s="145"/>
      <c r="AD1285" s="145"/>
      <c r="AE1285" s="145"/>
      <c r="AF1285" s="145"/>
      <c r="AG1285" s="145"/>
      <c r="AH1285" s="145"/>
      <c r="AI1285" s="145"/>
      <c r="AJ1285" s="145"/>
      <c r="AK1285" s="145"/>
      <c r="AL1285" s="145"/>
      <c r="AM1285" s="145"/>
      <c r="AN1285" s="145"/>
      <c r="AO1285" s="145"/>
      <c r="AP1285" s="145"/>
      <c r="AQ1285" s="145"/>
      <c r="AR1285" s="145"/>
      <c r="AS1285" s="145"/>
      <c r="AT1285" s="145"/>
      <c r="AU1285" s="145"/>
      <c r="AV1285" s="146"/>
      <c r="AW1285" s="146"/>
      <c r="AX1285" s="146"/>
      <c r="AY1285" s="146"/>
      <c r="AZ1285" s="145"/>
      <c r="BA1285" s="146"/>
      <c r="BB1285" s="145"/>
      <c r="BC1285" s="145"/>
      <c r="BD1285" s="145"/>
      <c r="BE1285" s="145"/>
      <c r="BF1285" s="145"/>
      <c r="BG1285" s="145"/>
      <c r="BH1285" s="145"/>
      <c r="BI1285" s="145"/>
      <c r="BJ1285" s="145"/>
      <c r="BK1285" s="145"/>
    </row>
    <row r="1286" spans="1:63" s="147" customFormat="1" ht="15" x14ac:dyDescent="0.25">
      <c r="A1286" s="59"/>
      <c r="B1286" s="98"/>
      <c r="C1286" s="102" t="s">
        <v>63</v>
      </c>
      <c r="D1286" s="102"/>
      <c r="E1286" s="102"/>
      <c r="F1286" s="102"/>
      <c r="G1286" s="102"/>
      <c r="H1286" s="41"/>
      <c r="I1286" s="42"/>
      <c r="J1286" s="42"/>
      <c r="K1286" s="42"/>
      <c r="L1286" s="45"/>
      <c r="M1286" s="42"/>
      <c r="N1286" s="45"/>
      <c r="O1286" s="42"/>
      <c r="P1286" s="50">
        <v>138.94299999999998</v>
      </c>
      <c r="Q1286" s="82"/>
      <c r="R1286" s="82"/>
      <c r="S1286" s="82"/>
      <c r="T1286" s="82"/>
      <c r="U1286" s="167"/>
      <c r="V1286" s="82"/>
      <c r="W1286" s="152"/>
      <c r="X1286" s="82"/>
      <c r="Y1286" s="82"/>
      <c r="Z1286" s="82"/>
      <c r="AA1286" s="82"/>
      <c r="AB1286" s="145"/>
      <c r="AC1286" s="145"/>
      <c r="AD1286" s="145"/>
      <c r="AE1286" s="145"/>
      <c r="AF1286" s="145"/>
      <c r="AG1286" s="145"/>
      <c r="AH1286" s="145"/>
      <c r="AI1286" s="145"/>
      <c r="AJ1286" s="145"/>
      <c r="AK1286" s="145"/>
      <c r="AL1286" s="145"/>
      <c r="AM1286" s="145"/>
      <c r="AN1286" s="145"/>
      <c r="AO1286" s="145"/>
      <c r="AP1286" s="145"/>
      <c r="AQ1286" s="145"/>
      <c r="AR1286" s="145"/>
      <c r="AS1286" s="145"/>
      <c r="AT1286" s="145"/>
      <c r="AU1286" s="145"/>
      <c r="AV1286" s="146"/>
      <c r="AW1286" s="146"/>
      <c r="AX1286" s="146"/>
      <c r="AY1286" s="146"/>
      <c r="AZ1286" s="145"/>
      <c r="BA1286" s="146"/>
      <c r="BB1286" s="145"/>
      <c r="BC1286" s="145"/>
      <c r="BD1286" s="145"/>
      <c r="BE1286" s="145"/>
      <c r="BF1286" s="145"/>
      <c r="BG1286" s="145"/>
      <c r="BH1286" s="145"/>
      <c r="BI1286" s="145"/>
      <c r="BJ1286" s="145"/>
      <c r="BK1286" s="145"/>
    </row>
    <row r="1287" spans="1:63" s="147" customFormat="1" ht="15" x14ac:dyDescent="0.25">
      <c r="A1287" s="39" t="s">
        <v>841</v>
      </c>
      <c r="B1287" s="97" t="s">
        <v>91</v>
      </c>
      <c r="C1287" s="103" t="s">
        <v>92</v>
      </c>
      <c r="D1287" s="103"/>
      <c r="E1287" s="103"/>
      <c r="F1287" s="103"/>
      <c r="G1287" s="103"/>
      <c r="H1287" s="41" t="s">
        <v>93</v>
      </c>
      <c r="I1287" s="42">
        <v>2E-3</v>
      </c>
      <c r="J1287" s="43">
        <v>1</v>
      </c>
      <c r="K1287" s="66">
        <v>2E-3</v>
      </c>
      <c r="L1287" s="49">
        <v>7782.25</v>
      </c>
      <c r="M1287" s="62">
        <v>0.85</v>
      </c>
      <c r="N1287" s="49">
        <v>6614.91</v>
      </c>
      <c r="O1287" s="42"/>
      <c r="P1287" s="50">
        <v>15.214499999999999</v>
      </c>
      <c r="Q1287" s="82"/>
      <c r="R1287" s="82"/>
      <c r="S1287" s="82"/>
      <c r="T1287" s="82"/>
      <c r="U1287" s="167"/>
      <c r="V1287" s="82"/>
      <c r="W1287" s="151"/>
      <c r="X1287" s="82"/>
      <c r="Y1287" s="82"/>
      <c r="Z1287" s="82"/>
      <c r="AA1287" s="82"/>
      <c r="AB1287" s="145"/>
      <c r="AC1287" s="145"/>
      <c r="AD1287" s="145"/>
      <c r="AE1287" s="145"/>
      <c r="AF1287" s="145"/>
      <c r="AG1287" s="145"/>
      <c r="AH1287" s="145"/>
      <c r="AI1287" s="145"/>
      <c r="AJ1287" s="145"/>
      <c r="AK1287" s="145"/>
      <c r="AL1287" s="145"/>
      <c r="AM1287" s="145"/>
      <c r="AN1287" s="145"/>
      <c r="AO1287" s="145"/>
      <c r="AP1287" s="145"/>
      <c r="AQ1287" s="145"/>
      <c r="AR1287" s="145"/>
      <c r="AS1287" s="145"/>
      <c r="AT1287" s="145"/>
      <c r="AU1287" s="145"/>
      <c r="AV1287" s="146"/>
      <c r="AW1287" s="146"/>
      <c r="AX1287" s="146"/>
      <c r="AY1287" s="146"/>
      <c r="AZ1287" s="145"/>
      <c r="BA1287" s="146"/>
      <c r="BB1287" s="145"/>
      <c r="BC1287" s="145"/>
      <c r="BD1287" s="145"/>
      <c r="BE1287" s="145"/>
      <c r="BF1287" s="145"/>
      <c r="BG1287" s="145"/>
      <c r="BH1287" s="145"/>
      <c r="BI1287" s="145"/>
      <c r="BJ1287" s="145"/>
      <c r="BK1287" s="145"/>
    </row>
    <row r="1288" spans="1:63" s="147" customFormat="1" ht="15" x14ac:dyDescent="0.25">
      <c r="A1288" s="59"/>
      <c r="B1288" s="98"/>
      <c r="C1288" s="102" t="s">
        <v>63</v>
      </c>
      <c r="D1288" s="102"/>
      <c r="E1288" s="102"/>
      <c r="F1288" s="102"/>
      <c r="G1288" s="102"/>
      <c r="H1288" s="41"/>
      <c r="I1288" s="42"/>
      <c r="J1288" s="42"/>
      <c r="K1288" s="42"/>
      <c r="L1288" s="45"/>
      <c r="M1288" s="42"/>
      <c r="N1288" s="45"/>
      <c r="O1288" s="42"/>
      <c r="P1288" s="50">
        <v>15.214499999999999</v>
      </c>
      <c r="Q1288" s="82"/>
      <c r="R1288" s="82"/>
      <c r="S1288" s="82"/>
      <c r="T1288" s="82"/>
      <c r="U1288" s="167"/>
      <c r="V1288" s="82"/>
      <c r="W1288" s="171"/>
      <c r="X1288" s="82"/>
      <c r="Y1288" s="82"/>
      <c r="Z1288" s="82"/>
      <c r="AA1288" s="82"/>
      <c r="AB1288" s="145"/>
      <c r="AC1288" s="145"/>
      <c r="AD1288" s="145"/>
      <c r="AE1288" s="145"/>
      <c r="AF1288" s="145"/>
      <c r="AG1288" s="145"/>
      <c r="AH1288" s="145"/>
      <c r="AI1288" s="145"/>
      <c r="AJ1288" s="145"/>
      <c r="AK1288" s="145"/>
      <c r="AL1288" s="145"/>
      <c r="AM1288" s="145"/>
      <c r="AN1288" s="145"/>
      <c r="AO1288" s="145"/>
      <c r="AP1288" s="145"/>
      <c r="AQ1288" s="145"/>
      <c r="AR1288" s="145"/>
      <c r="AS1288" s="145"/>
      <c r="AT1288" s="145"/>
      <c r="AU1288" s="145"/>
      <c r="AV1288" s="146"/>
      <c r="AW1288" s="146"/>
      <c r="AX1288" s="146"/>
      <c r="AY1288" s="146"/>
      <c r="AZ1288" s="145"/>
      <c r="BA1288" s="146"/>
      <c r="BB1288" s="145"/>
      <c r="BC1288" s="145"/>
      <c r="BD1288" s="145"/>
      <c r="BE1288" s="145"/>
      <c r="BF1288" s="145"/>
      <c r="BG1288" s="145"/>
      <c r="BH1288" s="145"/>
      <c r="BI1288" s="145"/>
      <c r="BJ1288" s="145"/>
      <c r="BK1288" s="145"/>
    </row>
    <row r="1289" spans="1:63" s="147" customFormat="1" ht="15" x14ac:dyDescent="0.25">
      <c r="A1289" s="107" t="s">
        <v>94</v>
      </c>
      <c r="B1289" s="108"/>
      <c r="C1289" s="108"/>
      <c r="D1289" s="108"/>
      <c r="E1289" s="108"/>
      <c r="F1289" s="108"/>
      <c r="G1289" s="108"/>
      <c r="H1289" s="108"/>
      <c r="I1289" s="108"/>
      <c r="J1289" s="108"/>
      <c r="K1289" s="108"/>
      <c r="L1289" s="108"/>
      <c r="M1289" s="108"/>
      <c r="N1289" s="108"/>
      <c r="O1289" s="108"/>
      <c r="P1289" s="109"/>
      <c r="Q1289" s="82"/>
      <c r="R1289" s="82"/>
      <c r="S1289" s="82"/>
      <c r="T1289" s="82"/>
      <c r="U1289" s="82"/>
      <c r="V1289" s="82"/>
      <c r="W1289" s="151"/>
      <c r="X1289" s="82"/>
      <c r="Y1289" s="82"/>
      <c r="Z1289" s="82"/>
      <c r="AA1289" s="82"/>
      <c r="AB1289" s="145"/>
      <c r="AC1289" s="145"/>
      <c r="AD1289" s="145"/>
      <c r="AE1289" s="145"/>
      <c r="AF1289" s="145"/>
      <c r="AG1289" s="145"/>
      <c r="AH1289" s="145"/>
      <c r="AI1289" s="145"/>
      <c r="AJ1289" s="145"/>
      <c r="AK1289" s="145"/>
      <c r="AL1289" s="145"/>
      <c r="AM1289" s="145"/>
      <c r="AN1289" s="145"/>
      <c r="AO1289" s="145"/>
      <c r="AP1289" s="145"/>
      <c r="AQ1289" s="145"/>
      <c r="AR1289" s="145"/>
      <c r="AS1289" s="145"/>
      <c r="AT1289" s="145"/>
      <c r="AU1289" s="145"/>
      <c r="AV1289" s="146"/>
      <c r="AW1289" s="146"/>
      <c r="AX1289" s="146"/>
      <c r="AY1289" s="146"/>
      <c r="AZ1289" s="145"/>
      <c r="BA1289" s="146"/>
      <c r="BB1289" s="145"/>
      <c r="BC1289" s="145"/>
      <c r="BD1289" s="145"/>
      <c r="BE1289" s="145"/>
      <c r="BF1289" s="145"/>
      <c r="BG1289" s="145"/>
      <c r="BH1289" s="145"/>
      <c r="BI1289" s="145"/>
      <c r="BJ1289" s="145"/>
      <c r="BK1289" s="145"/>
    </row>
    <row r="1290" spans="1:63" s="147" customFormat="1" ht="15" x14ac:dyDescent="0.25">
      <c r="A1290" s="39" t="s">
        <v>842</v>
      </c>
      <c r="B1290" s="97" t="s">
        <v>96</v>
      </c>
      <c r="C1290" s="105" t="s">
        <v>308</v>
      </c>
      <c r="D1290" s="105"/>
      <c r="E1290" s="105"/>
      <c r="F1290" s="105"/>
      <c r="G1290" s="105"/>
      <c r="H1290" s="41" t="s">
        <v>55</v>
      </c>
      <c r="I1290" s="44">
        <v>1.5599999999999999E-2</v>
      </c>
      <c r="J1290" s="43">
        <v>1</v>
      </c>
      <c r="K1290" s="44">
        <f>I1290</f>
        <v>1.5599999999999999E-2</v>
      </c>
      <c r="L1290" s="45"/>
      <c r="M1290" s="42"/>
      <c r="N1290" s="45"/>
      <c r="O1290" s="42"/>
      <c r="P1290" s="46"/>
      <c r="Q1290" s="82"/>
      <c r="R1290" s="82"/>
      <c r="S1290" s="82"/>
      <c r="T1290" s="82"/>
      <c r="U1290" s="82"/>
      <c r="V1290" s="82"/>
      <c r="W1290" s="82"/>
      <c r="X1290" s="82"/>
      <c r="Y1290" s="82"/>
      <c r="Z1290" s="82"/>
      <c r="AA1290" s="82"/>
      <c r="AB1290" s="145"/>
      <c r="AC1290" s="145"/>
      <c r="AD1290" s="145"/>
      <c r="AE1290" s="145"/>
      <c r="AF1290" s="145"/>
      <c r="AG1290" s="145"/>
      <c r="AH1290" s="145"/>
      <c r="AI1290" s="145"/>
      <c r="AJ1290" s="145"/>
      <c r="AK1290" s="145"/>
      <c r="AL1290" s="145"/>
      <c r="AM1290" s="145"/>
      <c r="AN1290" s="145"/>
      <c r="AO1290" s="145"/>
      <c r="AP1290" s="145"/>
      <c r="AQ1290" s="145"/>
      <c r="AR1290" s="145"/>
      <c r="AS1290" s="145"/>
      <c r="AT1290" s="145"/>
      <c r="AU1290" s="145"/>
      <c r="AV1290" s="146"/>
      <c r="AW1290" s="146"/>
      <c r="AX1290" s="146"/>
      <c r="AY1290" s="146"/>
      <c r="AZ1290" s="145"/>
      <c r="BA1290" s="146"/>
      <c r="BB1290" s="145"/>
      <c r="BC1290" s="145"/>
      <c r="BD1290" s="145"/>
      <c r="BE1290" s="145"/>
      <c r="BF1290" s="145"/>
      <c r="BG1290" s="145"/>
      <c r="BH1290" s="145"/>
      <c r="BI1290" s="145"/>
      <c r="BJ1290" s="145"/>
      <c r="BK1290" s="145"/>
    </row>
    <row r="1291" spans="1:63" s="147" customFormat="1" ht="15" x14ac:dyDescent="0.25">
      <c r="A1291" s="47"/>
      <c r="B1291" s="48"/>
      <c r="C1291" s="106" t="s">
        <v>56</v>
      </c>
      <c r="D1291" s="106"/>
      <c r="E1291" s="106"/>
      <c r="F1291" s="106"/>
      <c r="G1291" s="106"/>
      <c r="H1291" s="41"/>
      <c r="I1291" s="42"/>
      <c r="J1291" s="42"/>
      <c r="K1291" s="42"/>
      <c r="L1291" s="45"/>
      <c r="M1291" s="42"/>
      <c r="N1291" s="49"/>
      <c r="O1291" s="42"/>
      <c r="P1291" s="50">
        <v>1167.204</v>
      </c>
      <c r="Q1291" s="157"/>
      <c r="R1291" s="157"/>
      <c r="S1291" s="82"/>
      <c r="T1291" s="82"/>
      <c r="U1291" s="156"/>
      <c r="V1291" s="82"/>
      <c r="W1291" s="168"/>
      <c r="X1291" s="82"/>
      <c r="Y1291" s="82"/>
      <c r="Z1291" s="82"/>
      <c r="AA1291" s="82"/>
      <c r="AB1291" s="145"/>
      <c r="AC1291" s="145"/>
      <c r="AD1291" s="145"/>
      <c r="AE1291" s="145"/>
      <c r="AF1291" s="145"/>
      <c r="AG1291" s="145"/>
      <c r="AH1291" s="145"/>
      <c r="AI1291" s="145"/>
      <c r="AJ1291" s="145"/>
      <c r="AK1291" s="145"/>
      <c r="AL1291" s="145"/>
      <c r="AM1291" s="145"/>
      <c r="AN1291" s="145"/>
      <c r="AO1291" s="145"/>
      <c r="AP1291" s="145"/>
      <c r="AQ1291" s="145"/>
      <c r="AR1291" s="145"/>
      <c r="AS1291" s="145"/>
      <c r="AT1291" s="145"/>
      <c r="AU1291" s="145"/>
      <c r="AV1291" s="146"/>
      <c r="AW1291" s="146"/>
      <c r="AX1291" s="146"/>
      <c r="AY1291" s="146"/>
      <c r="AZ1291" s="145"/>
      <c r="BA1291" s="146"/>
      <c r="BB1291" s="145"/>
      <c r="BC1291" s="145"/>
      <c r="BD1291" s="145"/>
      <c r="BE1291" s="145"/>
      <c r="BF1291" s="145"/>
      <c r="BG1291" s="145"/>
      <c r="BH1291" s="145"/>
      <c r="BI1291" s="145"/>
      <c r="BJ1291" s="145"/>
      <c r="BK1291" s="145"/>
    </row>
    <row r="1292" spans="1:63" s="147" customFormat="1" ht="15" x14ac:dyDescent="0.25">
      <c r="A1292" s="52"/>
      <c r="B1292" s="53"/>
      <c r="C1292" s="110" t="s">
        <v>57</v>
      </c>
      <c r="D1292" s="110"/>
      <c r="E1292" s="110"/>
      <c r="F1292" s="110"/>
      <c r="G1292" s="110"/>
      <c r="H1292" s="54"/>
      <c r="I1292" s="55"/>
      <c r="J1292" s="55"/>
      <c r="K1292" s="55"/>
      <c r="L1292" s="56"/>
      <c r="M1292" s="55"/>
      <c r="N1292" s="56"/>
      <c r="O1292" s="55"/>
      <c r="P1292" s="77">
        <v>718.45099999999991</v>
      </c>
      <c r="Q1292" s="82"/>
      <c r="R1292" s="82"/>
      <c r="S1292" s="82"/>
      <c r="T1292" s="82"/>
      <c r="U1292" s="170"/>
      <c r="V1292" s="82"/>
      <c r="W1292" s="151"/>
      <c r="X1292" s="82"/>
      <c r="Y1292" s="82"/>
      <c r="Z1292" s="82"/>
      <c r="AA1292" s="82"/>
      <c r="AB1292" s="145"/>
      <c r="AC1292" s="145"/>
      <c r="AD1292" s="145"/>
      <c r="AE1292" s="145"/>
      <c r="AF1292" s="145"/>
      <c r="AG1292" s="145"/>
      <c r="AH1292" s="145"/>
      <c r="AI1292" s="145"/>
      <c r="AJ1292" s="145"/>
      <c r="AK1292" s="145"/>
      <c r="AL1292" s="145"/>
      <c r="AM1292" s="145"/>
      <c r="AN1292" s="145"/>
      <c r="AO1292" s="145"/>
      <c r="AP1292" s="145"/>
      <c r="AQ1292" s="145"/>
      <c r="AR1292" s="145"/>
      <c r="AS1292" s="145"/>
      <c r="AT1292" s="145"/>
      <c r="AU1292" s="145"/>
      <c r="AV1292" s="146"/>
      <c r="AW1292" s="146"/>
      <c r="AX1292" s="146"/>
      <c r="AY1292" s="146"/>
      <c r="AZ1292" s="145"/>
      <c r="BA1292" s="146"/>
      <c r="BB1292" s="145"/>
      <c r="BC1292" s="145"/>
      <c r="BD1292" s="145"/>
      <c r="BE1292" s="145"/>
      <c r="BF1292" s="145"/>
      <c r="BG1292" s="145"/>
      <c r="BH1292" s="145"/>
      <c r="BI1292" s="145"/>
      <c r="BJ1292" s="145"/>
      <c r="BK1292" s="145"/>
    </row>
    <row r="1293" spans="1:63" s="147" customFormat="1" ht="15" x14ac:dyDescent="0.25">
      <c r="A1293" s="52"/>
      <c r="B1293" s="53" t="s">
        <v>98</v>
      </c>
      <c r="C1293" s="110" t="s">
        <v>99</v>
      </c>
      <c r="D1293" s="110"/>
      <c r="E1293" s="110"/>
      <c r="F1293" s="110"/>
      <c r="G1293" s="110"/>
      <c r="H1293" s="54" t="s">
        <v>60</v>
      </c>
      <c r="I1293" s="58">
        <v>108</v>
      </c>
      <c r="J1293" s="55"/>
      <c r="K1293" s="58">
        <v>108</v>
      </c>
      <c r="L1293" s="56"/>
      <c r="M1293" s="55"/>
      <c r="N1293" s="56"/>
      <c r="O1293" s="55"/>
      <c r="P1293" s="77">
        <v>775.928</v>
      </c>
      <c r="Q1293" s="82"/>
      <c r="R1293" s="82"/>
      <c r="S1293" s="82"/>
      <c r="T1293" s="82"/>
      <c r="U1293" s="170"/>
      <c r="V1293" s="82"/>
      <c r="W1293" s="160"/>
      <c r="X1293" s="82"/>
      <c r="Y1293" s="82"/>
      <c r="Z1293" s="82"/>
      <c r="AA1293" s="82"/>
      <c r="AB1293" s="145"/>
      <c r="AC1293" s="145"/>
      <c r="AD1293" s="145"/>
      <c r="AE1293" s="145"/>
      <c r="AF1293" s="145"/>
      <c r="AG1293" s="145"/>
      <c r="AH1293" s="145"/>
      <c r="AI1293" s="145"/>
      <c r="AJ1293" s="145"/>
      <c r="AK1293" s="145"/>
      <c r="AL1293" s="145"/>
      <c r="AM1293" s="145"/>
      <c r="AN1293" s="145"/>
      <c r="AO1293" s="145"/>
      <c r="AP1293" s="145"/>
      <c r="AQ1293" s="145"/>
      <c r="AR1293" s="145"/>
      <c r="AS1293" s="145"/>
      <c r="AT1293" s="145"/>
      <c r="AU1293" s="145"/>
      <c r="AV1293" s="146"/>
      <c r="AW1293" s="146"/>
      <c r="AX1293" s="146"/>
      <c r="AY1293" s="146"/>
      <c r="AZ1293" s="145"/>
      <c r="BA1293" s="146"/>
      <c r="BB1293" s="145"/>
      <c r="BC1293" s="145"/>
      <c r="BD1293" s="145"/>
      <c r="BE1293" s="145"/>
      <c r="BF1293" s="145"/>
      <c r="BG1293" s="145"/>
      <c r="BH1293" s="145"/>
      <c r="BI1293" s="145"/>
      <c r="BJ1293" s="145"/>
      <c r="BK1293" s="145"/>
    </row>
    <row r="1294" spans="1:63" s="147" customFormat="1" ht="15" x14ac:dyDescent="0.25">
      <c r="A1294" s="52"/>
      <c r="B1294" s="53" t="s">
        <v>100</v>
      </c>
      <c r="C1294" s="110" t="s">
        <v>101</v>
      </c>
      <c r="D1294" s="110"/>
      <c r="E1294" s="110"/>
      <c r="F1294" s="110"/>
      <c r="G1294" s="110"/>
      <c r="H1294" s="54" t="s">
        <v>60</v>
      </c>
      <c r="I1294" s="58">
        <v>55</v>
      </c>
      <c r="J1294" s="55"/>
      <c r="K1294" s="58">
        <v>55</v>
      </c>
      <c r="L1294" s="56"/>
      <c r="M1294" s="55"/>
      <c r="N1294" s="56"/>
      <c r="O1294" s="55"/>
      <c r="P1294" s="77">
        <v>395.1515</v>
      </c>
      <c r="Q1294" s="82"/>
      <c r="R1294" s="82"/>
      <c r="S1294" s="82"/>
      <c r="T1294" s="82"/>
      <c r="U1294" s="170"/>
      <c r="V1294" s="82"/>
      <c r="W1294" s="164"/>
      <c r="X1294" s="82"/>
      <c r="Y1294" s="82"/>
      <c r="Z1294" s="82"/>
      <c r="AA1294" s="82"/>
      <c r="AB1294" s="145"/>
      <c r="AC1294" s="145"/>
      <c r="AD1294" s="145"/>
      <c r="AE1294" s="145"/>
      <c r="AF1294" s="145"/>
      <c r="AG1294" s="145"/>
      <c r="AH1294" s="145"/>
      <c r="AI1294" s="145"/>
      <c r="AJ1294" s="145"/>
      <c r="AK1294" s="145"/>
      <c r="AL1294" s="145"/>
      <c r="AM1294" s="145"/>
      <c r="AN1294" s="145"/>
      <c r="AO1294" s="145"/>
      <c r="AP1294" s="145"/>
      <c r="AQ1294" s="145"/>
      <c r="AR1294" s="145"/>
      <c r="AS1294" s="145"/>
      <c r="AT1294" s="145"/>
      <c r="AU1294" s="145"/>
      <c r="AV1294" s="146"/>
      <c r="AW1294" s="146"/>
      <c r="AX1294" s="146"/>
      <c r="AY1294" s="146"/>
      <c r="AZ1294" s="145"/>
      <c r="BA1294" s="146"/>
      <c r="BB1294" s="145"/>
      <c r="BC1294" s="145"/>
      <c r="BD1294" s="145"/>
      <c r="BE1294" s="145"/>
      <c r="BF1294" s="145"/>
      <c r="BG1294" s="145"/>
      <c r="BH1294" s="145"/>
      <c r="BI1294" s="145"/>
      <c r="BJ1294" s="145"/>
      <c r="BK1294" s="145"/>
    </row>
    <row r="1295" spans="1:63" s="147" customFormat="1" ht="15" x14ac:dyDescent="0.25">
      <c r="A1295" s="59"/>
      <c r="B1295" s="98"/>
      <c r="C1295" s="106" t="s">
        <v>63</v>
      </c>
      <c r="D1295" s="106"/>
      <c r="E1295" s="106"/>
      <c r="F1295" s="106"/>
      <c r="G1295" s="106"/>
      <c r="H1295" s="41"/>
      <c r="I1295" s="42"/>
      <c r="J1295" s="42"/>
      <c r="K1295" s="42"/>
      <c r="L1295" s="45"/>
      <c r="M1295" s="42"/>
      <c r="N1295" s="49">
        <v>101664.5</v>
      </c>
      <c r="O1295" s="42"/>
      <c r="P1295" s="50">
        <v>3215.8765599999997</v>
      </c>
      <c r="Q1295" s="82"/>
      <c r="R1295" s="82"/>
      <c r="S1295" s="82"/>
      <c r="T1295" s="82"/>
      <c r="U1295" s="156"/>
      <c r="V1295" s="82"/>
      <c r="W1295" s="164"/>
      <c r="X1295" s="82"/>
      <c r="Y1295" s="82"/>
      <c r="Z1295" s="82"/>
      <c r="AA1295" s="82"/>
      <c r="AB1295" s="145"/>
      <c r="AC1295" s="145"/>
      <c r="AD1295" s="145"/>
      <c r="AE1295" s="145"/>
      <c r="AF1295" s="145"/>
      <c r="AG1295" s="145"/>
      <c r="AH1295" s="145"/>
      <c r="AI1295" s="145"/>
      <c r="AJ1295" s="145"/>
      <c r="AK1295" s="145"/>
      <c r="AL1295" s="145"/>
      <c r="AM1295" s="145"/>
      <c r="AN1295" s="145"/>
      <c r="AO1295" s="145"/>
      <c r="AP1295" s="145"/>
      <c r="AQ1295" s="145"/>
      <c r="AR1295" s="145"/>
      <c r="AS1295" s="145"/>
      <c r="AT1295" s="145"/>
      <c r="AU1295" s="145"/>
      <c r="AV1295" s="146"/>
      <c r="AW1295" s="146"/>
      <c r="AX1295" s="146"/>
      <c r="AY1295" s="146"/>
      <c r="AZ1295" s="145"/>
      <c r="BA1295" s="146"/>
      <c r="BB1295" s="145"/>
      <c r="BC1295" s="145"/>
      <c r="BD1295" s="145"/>
      <c r="BE1295" s="145"/>
      <c r="BF1295" s="145"/>
      <c r="BG1295" s="145"/>
      <c r="BH1295" s="145"/>
      <c r="BI1295" s="145"/>
      <c r="BJ1295" s="145"/>
      <c r="BK1295" s="145"/>
    </row>
    <row r="1296" spans="1:63" s="147" customFormat="1" ht="15" x14ac:dyDescent="0.25">
      <c r="A1296" s="39" t="s">
        <v>843</v>
      </c>
      <c r="B1296" s="97" t="s">
        <v>103</v>
      </c>
      <c r="C1296" s="105" t="s">
        <v>309</v>
      </c>
      <c r="D1296" s="105"/>
      <c r="E1296" s="105"/>
      <c r="F1296" s="105"/>
      <c r="G1296" s="105"/>
      <c r="H1296" s="41" t="s">
        <v>83</v>
      </c>
      <c r="I1296" s="42">
        <v>14</v>
      </c>
      <c r="J1296" s="43">
        <v>1</v>
      </c>
      <c r="K1296" s="67">
        <v>14</v>
      </c>
      <c r="L1296" s="61">
        <v>92.12</v>
      </c>
      <c r="M1296" s="62">
        <v>1.48</v>
      </c>
      <c r="N1296" s="61">
        <v>136.34</v>
      </c>
      <c r="O1296" s="42"/>
      <c r="P1296" s="50">
        <v>2453.9727333333335</v>
      </c>
      <c r="Q1296" s="82"/>
      <c r="R1296" s="82"/>
      <c r="S1296" s="82"/>
      <c r="T1296" s="82"/>
      <c r="U1296" s="167"/>
      <c r="V1296" s="82"/>
      <c r="W1296" s="151"/>
      <c r="X1296" s="82"/>
      <c r="Y1296" s="82"/>
      <c r="Z1296" s="82"/>
      <c r="AA1296" s="82"/>
      <c r="AB1296" s="145"/>
      <c r="AC1296" s="145"/>
      <c r="AD1296" s="145"/>
      <c r="AE1296" s="145"/>
      <c r="AF1296" s="145"/>
      <c r="AG1296" s="145"/>
      <c r="AH1296" s="145"/>
      <c r="AI1296" s="145"/>
      <c r="AJ1296" s="145"/>
      <c r="AK1296" s="145"/>
      <c r="AL1296" s="145"/>
      <c r="AM1296" s="145"/>
      <c r="AN1296" s="145"/>
      <c r="AO1296" s="145"/>
      <c r="AP1296" s="145"/>
      <c r="AQ1296" s="145"/>
      <c r="AR1296" s="145"/>
      <c r="AS1296" s="145"/>
      <c r="AT1296" s="145"/>
      <c r="AU1296" s="145"/>
      <c r="AV1296" s="146"/>
      <c r="AW1296" s="146"/>
      <c r="AX1296" s="146"/>
      <c r="AY1296" s="146"/>
      <c r="AZ1296" s="145"/>
      <c r="BA1296" s="146"/>
      <c r="BB1296" s="145"/>
      <c r="BC1296" s="145"/>
      <c r="BD1296" s="145"/>
      <c r="BE1296" s="145"/>
      <c r="BF1296" s="145"/>
      <c r="BG1296" s="145"/>
      <c r="BH1296" s="145"/>
      <c r="BI1296" s="145"/>
      <c r="BJ1296" s="145"/>
      <c r="BK1296" s="145"/>
    </row>
    <row r="1297" spans="1:63" s="147" customFormat="1" ht="15" x14ac:dyDescent="0.25">
      <c r="A1297" s="59"/>
      <c r="B1297" s="98"/>
      <c r="C1297" s="102" t="s">
        <v>63</v>
      </c>
      <c r="D1297" s="102"/>
      <c r="E1297" s="102"/>
      <c r="F1297" s="102"/>
      <c r="G1297" s="102"/>
      <c r="H1297" s="41"/>
      <c r="I1297" s="42"/>
      <c r="J1297" s="42"/>
      <c r="K1297" s="42"/>
      <c r="L1297" s="45"/>
      <c r="M1297" s="42"/>
      <c r="N1297" s="45"/>
      <c r="O1297" s="42"/>
      <c r="P1297" s="50">
        <v>2453.9727333333335</v>
      </c>
      <c r="Q1297" s="82"/>
      <c r="R1297" s="82"/>
      <c r="S1297" s="82"/>
      <c r="T1297" s="82"/>
      <c r="U1297" s="167"/>
      <c r="V1297" s="82"/>
      <c r="W1297" s="175"/>
      <c r="X1297" s="82"/>
      <c r="Y1297" s="82"/>
      <c r="Z1297" s="82"/>
      <c r="AA1297" s="82"/>
      <c r="AB1297" s="145"/>
      <c r="AC1297" s="145"/>
      <c r="AD1297" s="145"/>
      <c r="AE1297" s="145"/>
      <c r="AF1297" s="145"/>
      <c r="AG1297" s="145"/>
      <c r="AH1297" s="145"/>
      <c r="AI1297" s="145"/>
      <c r="AJ1297" s="145"/>
      <c r="AK1297" s="145"/>
      <c r="AL1297" s="145"/>
      <c r="AM1297" s="145"/>
      <c r="AN1297" s="145"/>
      <c r="AO1297" s="145"/>
      <c r="AP1297" s="145"/>
      <c r="AQ1297" s="145"/>
      <c r="AR1297" s="145"/>
      <c r="AS1297" s="145"/>
      <c r="AT1297" s="145"/>
      <c r="AU1297" s="145"/>
      <c r="AV1297" s="146"/>
      <c r="AW1297" s="146"/>
      <c r="AX1297" s="146"/>
      <c r="AY1297" s="146"/>
      <c r="AZ1297" s="145"/>
      <c r="BA1297" s="146"/>
      <c r="BB1297" s="145"/>
      <c r="BC1297" s="145"/>
      <c r="BD1297" s="145"/>
      <c r="BE1297" s="145"/>
      <c r="BF1297" s="145"/>
      <c r="BG1297" s="145"/>
      <c r="BH1297" s="145"/>
      <c r="BI1297" s="145"/>
      <c r="BJ1297" s="145"/>
      <c r="BK1297" s="145"/>
    </row>
    <row r="1298" spans="1:63" s="147" customFormat="1" ht="15" x14ac:dyDescent="0.25">
      <c r="A1298" s="39" t="s">
        <v>844</v>
      </c>
      <c r="B1298" s="97" t="s">
        <v>107</v>
      </c>
      <c r="C1298" s="103" t="s">
        <v>108</v>
      </c>
      <c r="D1298" s="103"/>
      <c r="E1298" s="103"/>
      <c r="F1298" s="103"/>
      <c r="G1298" s="103"/>
      <c r="H1298" s="41" t="s">
        <v>55</v>
      </c>
      <c r="I1298" s="42">
        <v>0.3624</v>
      </c>
      <c r="J1298" s="43">
        <v>1</v>
      </c>
      <c r="K1298" s="44">
        <v>0.3624</v>
      </c>
      <c r="L1298" s="45"/>
      <c r="M1298" s="42"/>
      <c r="N1298" s="45"/>
      <c r="O1298" s="42"/>
      <c r="P1298" s="50"/>
      <c r="Q1298" s="82"/>
      <c r="R1298" s="82"/>
      <c r="S1298" s="82"/>
      <c r="T1298" s="82"/>
      <c r="U1298" s="153"/>
      <c r="V1298" s="82"/>
      <c r="W1298" s="151"/>
      <c r="X1298" s="82"/>
      <c r="Y1298" s="82"/>
      <c r="Z1298" s="82"/>
      <c r="AA1298" s="82"/>
      <c r="AB1298" s="145"/>
      <c r="AC1298" s="145"/>
      <c r="AD1298" s="145"/>
      <c r="AE1298" s="145"/>
      <c r="AF1298" s="145"/>
      <c r="AG1298" s="145"/>
      <c r="AH1298" s="145"/>
      <c r="AI1298" s="145"/>
      <c r="AJ1298" s="145"/>
      <c r="AK1298" s="145"/>
      <c r="AL1298" s="145"/>
      <c r="AM1298" s="145"/>
      <c r="AN1298" s="145"/>
      <c r="AO1298" s="145"/>
      <c r="AP1298" s="145"/>
      <c r="AQ1298" s="145"/>
      <c r="AR1298" s="145"/>
      <c r="AS1298" s="145"/>
      <c r="AT1298" s="145"/>
      <c r="AU1298" s="145"/>
      <c r="AV1298" s="146"/>
      <c r="AW1298" s="146"/>
      <c r="AX1298" s="146"/>
      <c r="AY1298" s="146"/>
      <c r="AZ1298" s="145"/>
      <c r="BA1298" s="146"/>
      <c r="BB1298" s="145"/>
      <c r="BC1298" s="145"/>
      <c r="BD1298" s="145"/>
      <c r="BE1298" s="145"/>
      <c r="BF1298" s="145"/>
      <c r="BG1298" s="145"/>
      <c r="BH1298" s="145"/>
      <c r="BI1298" s="145"/>
      <c r="BJ1298" s="145"/>
      <c r="BK1298" s="145"/>
    </row>
    <row r="1299" spans="1:63" s="147" customFormat="1" ht="15" x14ac:dyDescent="0.25">
      <c r="A1299" s="47"/>
      <c r="B1299" s="48"/>
      <c r="C1299" s="102" t="s">
        <v>56</v>
      </c>
      <c r="D1299" s="102"/>
      <c r="E1299" s="102"/>
      <c r="F1299" s="102"/>
      <c r="G1299" s="102"/>
      <c r="H1299" s="41"/>
      <c r="I1299" s="42"/>
      <c r="J1299" s="42"/>
      <c r="K1299" s="42"/>
      <c r="L1299" s="45"/>
      <c r="M1299" s="42"/>
      <c r="N1299" s="49"/>
      <c r="O1299" s="42"/>
      <c r="P1299" s="50">
        <v>305.78499999999997</v>
      </c>
      <c r="Q1299" s="157"/>
      <c r="R1299" s="157"/>
      <c r="S1299" s="82"/>
      <c r="T1299" s="82"/>
      <c r="U1299" s="156"/>
      <c r="V1299" s="82"/>
      <c r="W1299" s="166"/>
      <c r="X1299" s="82"/>
      <c r="Y1299" s="82"/>
      <c r="Z1299" s="82"/>
      <c r="AA1299" s="82"/>
      <c r="AB1299" s="145"/>
      <c r="AC1299" s="145"/>
      <c r="AD1299" s="145"/>
      <c r="AE1299" s="145"/>
      <c r="AF1299" s="145"/>
      <c r="AG1299" s="145"/>
      <c r="AH1299" s="145"/>
      <c r="AI1299" s="145"/>
      <c r="AJ1299" s="145"/>
      <c r="AK1299" s="145"/>
      <c r="AL1299" s="145"/>
      <c r="AM1299" s="145"/>
      <c r="AN1299" s="145"/>
      <c r="AO1299" s="145"/>
      <c r="AP1299" s="145"/>
      <c r="AQ1299" s="145"/>
      <c r="AR1299" s="145"/>
      <c r="AS1299" s="145"/>
      <c r="AT1299" s="145"/>
      <c r="AU1299" s="145"/>
      <c r="AV1299" s="146"/>
      <c r="AW1299" s="146"/>
      <c r="AX1299" s="146"/>
      <c r="AY1299" s="146"/>
      <c r="AZ1299" s="145"/>
      <c r="BA1299" s="146"/>
      <c r="BB1299" s="145"/>
      <c r="BC1299" s="145"/>
      <c r="BD1299" s="145"/>
      <c r="BE1299" s="145"/>
      <c r="BF1299" s="145"/>
      <c r="BG1299" s="145"/>
      <c r="BH1299" s="145"/>
      <c r="BI1299" s="145"/>
      <c r="BJ1299" s="145"/>
      <c r="BK1299" s="145"/>
    </row>
    <row r="1300" spans="1:63" s="147" customFormat="1" ht="15" x14ac:dyDescent="0.25">
      <c r="A1300" s="52"/>
      <c r="B1300" s="53"/>
      <c r="C1300" s="104" t="s">
        <v>57</v>
      </c>
      <c r="D1300" s="104"/>
      <c r="E1300" s="104"/>
      <c r="F1300" s="104"/>
      <c r="G1300" s="104"/>
      <c r="H1300" s="54"/>
      <c r="I1300" s="55"/>
      <c r="J1300" s="55"/>
      <c r="K1300" s="55"/>
      <c r="L1300" s="56"/>
      <c r="M1300" s="55"/>
      <c r="N1300" s="56"/>
      <c r="O1300" s="55"/>
      <c r="P1300" s="77">
        <v>303.11699999999996</v>
      </c>
      <c r="Q1300" s="82"/>
      <c r="R1300" s="82"/>
      <c r="S1300" s="82"/>
      <c r="T1300" s="82"/>
      <c r="U1300" s="170"/>
      <c r="V1300" s="82"/>
      <c r="W1300" s="151"/>
      <c r="X1300" s="82"/>
      <c r="Y1300" s="82"/>
      <c r="Z1300" s="82"/>
      <c r="AA1300" s="82"/>
      <c r="AB1300" s="145"/>
      <c r="AC1300" s="145"/>
      <c r="AD1300" s="145"/>
      <c r="AE1300" s="145"/>
      <c r="AF1300" s="145"/>
      <c r="AG1300" s="145"/>
      <c r="AH1300" s="145"/>
      <c r="AI1300" s="145"/>
      <c r="AJ1300" s="145"/>
      <c r="AK1300" s="145"/>
      <c r="AL1300" s="145"/>
      <c r="AM1300" s="145"/>
      <c r="AN1300" s="145"/>
      <c r="AO1300" s="145"/>
      <c r="AP1300" s="145"/>
      <c r="AQ1300" s="145"/>
      <c r="AR1300" s="145"/>
      <c r="AS1300" s="145"/>
      <c r="AT1300" s="145"/>
      <c r="AU1300" s="145"/>
      <c r="AV1300" s="146"/>
      <c r="AW1300" s="146"/>
      <c r="AX1300" s="146"/>
      <c r="AY1300" s="146"/>
      <c r="AZ1300" s="145"/>
      <c r="BA1300" s="146"/>
      <c r="BB1300" s="145"/>
      <c r="BC1300" s="145"/>
      <c r="BD1300" s="145"/>
      <c r="BE1300" s="145"/>
      <c r="BF1300" s="145"/>
      <c r="BG1300" s="145"/>
      <c r="BH1300" s="145"/>
      <c r="BI1300" s="145"/>
      <c r="BJ1300" s="145"/>
      <c r="BK1300" s="145"/>
    </row>
    <row r="1301" spans="1:63" s="147" customFormat="1" ht="15" x14ac:dyDescent="0.25">
      <c r="A1301" s="52"/>
      <c r="B1301" s="53" t="s">
        <v>58</v>
      </c>
      <c r="C1301" s="104" t="s">
        <v>59</v>
      </c>
      <c r="D1301" s="104"/>
      <c r="E1301" s="104"/>
      <c r="F1301" s="104"/>
      <c r="G1301" s="104"/>
      <c r="H1301" s="54" t="s">
        <v>60</v>
      </c>
      <c r="I1301" s="58">
        <v>100</v>
      </c>
      <c r="J1301" s="55"/>
      <c r="K1301" s="58">
        <v>100</v>
      </c>
      <c r="L1301" s="56"/>
      <c r="M1301" s="55"/>
      <c r="N1301" s="56"/>
      <c r="O1301" s="55"/>
      <c r="P1301" s="77">
        <v>303.11699999999996</v>
      </c>
      <c r="Q1301" s="82"/>
      <c r="R1301" s="82"/>
      <c r="S1301" s="82"/>
      <c r="T1301" s="82"/>
      <c r="U1301" s="170"/>
      <c r="V1301" s="82"/>
      <c r="W1301" s="160"/>
      <c r="X1301" s="82"/>
      <c r="Y1301" s="82"/>
      <c r="Z1301" s="82"/>
      <c r="AA1301" s="82"/>
      <c r="AB1301" s="145"/>
      <c r="AC1301" s="145"/>
      <c r="AD1301" s="145"/>
      <c r="AE1301" s="145"/>
      <c r="AF1301" s="145"/>
      <c r="AG1301" s="145"/>
      <c r="AH1301" s="145"/>
      <c r="AI1301" s="145"/>
      <c r="AJ1301" s="145"/>
      <c r="AK1301" s="145"/>
      <c r="AL1301" s="145"/>
      <c r="AM1301" s="145"/>
      <c r="AN1301" s="145"/>
      <c r="AO1301" s="145"/>
      <c r="AP1301" s="145"/>
      <c r="AQ1301" s="145"/>
      <c r="AR1301" s="145"/>
      <c r="AS1301" s="145"/>
      <c r="AT1301" s="145"/>
      <c r="AU1301" s="145"/>
      <c r="AV1301" s="146"/>
      <c r="AW1301" s="146"/>
      <c r="AX1301" s="146"/>
      <c r="AY1301" s="146"/>
      <c r="AZ1301" s="145"/>
      <c r="BA1301" s="146"/>
      <c r="BB1301" s="145"/>
      <c r="BC1301" s="145"/>
      <c r="BD1301" s="145"/>
      <c r="BE1301" s="145"/>
      <c r="BF1301" s="145"/>
      <c r="BG1301" s="145"/>
      <c r="BH1301" s="145"/>
      <c r="BI1301" s="145"/>
      <c r="BJ1301" s="145"/>
      <c r="BK1301" s="145"/>
    </row>
    <row r="1302" spans="1:63" s="147" customFormat="1" ht="15" x14ac:dyDescent="0.25">
      <c r="A1302" s="52"/>
      <c r="B1302" s="53" t="s">
        <v>61</v>
      </c>
      <c r="C1302" s="104" t="s">
        <v>62</v>
      </c>
      <c r="D1302" s="104"/>
      <c r="E1302" s="104"/>
      <c r="F1302" s="104"/>
      <c r="G1302" s="104"/>
      <c r="H1302" s="54" t="s">
        <v>60</v>
      </c>
      <c r="I1302" s="58">
        <v>49</v>
      </c>
      <c r="J1302" s="55"/>
      <c r="K1302" s="58">
        <v>49</v>
      </c>
      <c r="L1302" s="56"/>
      <c r="M1302" s="55"/>
      <c r="N1302" s="56"/>
      <c r="O1302" s="55"/>
      <c r="P1302" s="77">
        <v>148.52250000000001</v>
      </c>
      <c r="Q1302" s="82"/>
      <c r="R1302" s="82"/>
      <c r="S1302" s="82"/>
      <c r="T1302" s="82"/>
      <c r="U1302" s="170"/>
      <c r="V1302" s="82"/>
      <c r="W1302" s="164"/>
      <c r="X1302" s="82"/>
      <c r="Y1302" s="82"/>
      <c r="Z1302" s="82"/>
      <c r="AA1302" s="82"/>
      <c r="AB1302" s="145"/>
      <c r="AC1302" s="145"/>
      <c r="AD1302" s="145"/>
      <c r="AE1302" s="145"/>
      <c r="AF1302" s="145"/>
      <c r="AG1302" s="145"/>
      <c r="AH1302" s="145"/>
      <c r="AI1302" s="145"/>
      <c r="AJ1302" s="145"/>
      <c r="AK1302" s="145"/>
      <c r="AL1302" s="145"/>
      <c r="AM1302" s="145"/>
      <c r="AN1302" s="145"/>
      <c r="AO1302" s="145"/>
      <c r="AP1302" s="145"/>
      <c r="AQ1302" s="145"/>
      <c r="AR1302" s="145"/>
      <c r="AS1302" s="145"/>
      <c r="AT1302" s="145"/>
      <c r="AU1302" s="145"/>
      <c r="AV1302" s="146"/>
      <c r="AW1302" s="146"/>
      <c r="AX1302" s="146"/>
      <c r="AY1302" s="146"/>
      <c r="AZ1302" s="145"/>
      <c r="BA1302" s="146"/>
      <c r="BB1302" s="145"/>
      <c r="BC1302" s="145"/>
      <c r="BD1302" s="145"/>
      <c r="BE1302" s="145"/>
      <c r="BF1302" s="145"/>
      <c r="BG1302" s="145"/>
      <c r="BH1302" s="145"/>
      <c r="BI1302" s="145"/>
      <c r="BJ1302" s="145"/>
      <c r="BK1302" s="145"/>
    </row>
    <row r="1303" spans="1:63" s="147" customFormat="1" ht="15" x14ac:dyDescent="0.25">
      <c r="A1303" s="59"/>
      <c r="B1303" s="98"/>
      <c r="C1303" s="102" t="s">
        <v>63</v>
      </c>
      <c r="D1303" s="102"/>
      <c r="E1303" s="102"/>
      <c r="F1303" s="102"/>
      <c r="G1303" s="102"/>
      <c r="H1303" s="41"/>
      <c r="I1303" s="42"/>
      <c r="J1303" s="42"/>
      <c r="K1303" s="42"/>
      <c r="L1303" s="45"/>
      <c r="M1303" s="42"/>
      <c r="N1303" s="49">
        <v>4828.67</v>
      </c>
      <c r="O1303" s="42"/>
      <c r="P1303" s="50">
        <v>2012.3947126099706</v>
      </c>
      <c r="Q1303" s="82"/>
      <c r="R1303" s="82"/>
      <c r="S1303" s="82"/>
      <c r="T1303" s="82"/>
      <c r="U1303" s="167"/>
      <c r="V1303" s="82"/>
      <c r="W1303" s="164"/>
      <c r="X1303" s="82"/>
      <c r="Y1303" s="82"/>
      <c r="Z1303" s="82"/>
      <c r="AA1303" s="82"/>
      <c r="AB1303" s="145"/>
      <c r="AC1303" s="145"/>
      <c r="AD1303" s="145"/>
      <c r="AE1303" s="145"/>
      <c r="AF1303" s="145"/>
      <c r="AG1303" s="145"/>
      <c r="AH1303" s="145"/>
      <c r="AI1303" s="145"/>
      <c r="AJ1303" s="145"/>
      <c r="AK1303" s="145"/>
      <c r="AL1303" s="145"/>
      <c r="AM1303" s="145"/>
      <c r="AN1303" s="145"/>
      <c r="AO1303" s="145"/>
      <c r="AP1303" s="145"/>
      <c r="AQ1303" s="145"/>
      <c r="AR1303" s="145"/>
      <c r="AS1303" s="145"/>
      <c r="AT1303" s="145"/>
      <c r="AU1303" s="145"/>
      <c r="AV1303" s="146"/>
      <c r="AW1303" s="146"/>
      <c r="AX1303" s="146"/>
      <c r="AY1303" s="146"/>
      <c r="AZ1303" s="145"/>
      <c r="BA1303" s="146"/>
      <c r="BB1303" s="145"/>
      <c r="BC1303" s="145"/>
      <c r="BD1303" s="145"/>
      <c r="BE1303" s="145"/>
      <c r="BF1303" s="145"/>
      <c r="BG1303" s="145"/>
      <c r="BH1303" s="145"/>
      <c r="BI1303" s="145"/>
      <c r="BJ1303" s="145"/>
      <c r="BK1303" s="145"/>
    </row>
    <row r="1304" spans="1:63" s="147" customFormat="1" ht="15" x14ac:dyDescent="0.25">
      <c r="A1304" s="39" t="s">
        <v>845</v>
      </c>
      <c r="B1304" s="97" t="s">
        <v>110</v>
      </c>
      <c r="C1304" s="103" t="s">
        <v>111</v>
      </c>
      <c r="D1304" s="103"/>
      <c r="E1304" s="103"/>
      <c r="F1304" s="103"/>
      <c r="G1304" s="103"/>
      <c r="H1304" s="41" t="s">
        <v>67</v>
      </c>
      <c r="I1304" s="42">
        <v>6.4</v>
      </c>
      <c r="J1304" s="43">
        <v>1</v>
      </c>
      <c r="K1304" s="44">
        <v>6.4</v>
      </c>
      <c r="L1304" s="61">
        <v>65.84</v>
      </c>
      <c r="M1304" s="67">
        <v>1.2</v>
      </c>
      <c r="N1304" s="61">
        <v>79.010000000000005</v>
      </c>
      <c r="O1304" s="42"/>
      <c r="P1304" s="50">
        <v>581.50758061071951</v>
      </c>
      <c r="Q1304" s="82"/>
      <c r="R1304" s="82"/>
      <c r="S1304" s="82"/>
      <c r="T1304" s="82"/>
      <c r="U1304" s="167"/>
      <c r="V1304" s="82"/>
      <c r="W1304" s="151"/>
      <c r="X1304" s="82"/>
      <c r="Y1304" s="82"/>
      <c r="Z1304" s="82"/>
      <c r="AA1304" s="82"/>
      <c r="AB1304" s="145"/>
      <c r="AC1304" s="145"/>
      <c r="AD1304" s="145"/>
      <c r="AE1304" s="145"/>
      <c r="AF1304" s="145"/>
      <c r="AG1304" s="145"/>
      <c r="AH1304" s="145"/>
      <c r="AI1304" s="145"/>
      <c r="AJ1304" s="145"/>
      <c r="AK1304" s="145"/>
      <c r="AL1304" s="145"/>
      <c r="AM1304" s="145"/>
      <c r="AN1304" s="145"/>
      <c r="AO1304" s="145"/>
      <c r="AP1304" s="145"/>
      <c r="AQ1304" s="145"/>
      <c r="AR1304" s="145"/>
      <c r="AS1304" s="145"/>
      <c r="AT1304" s="145"/>
      <c r="AU1304" s="145"/>
      <c r="AV1304" s="146"/>
      <c r="AW1304" s="146"/>
      <c r="AX1304" s="146"/>
      <c r="AY1304" s="146"/>
      <c r="AZ1304" s="145"/>
      <c r="BA1304" s="146"/>
      <c r="BB1304" s="145"/>
      <c r="BC1304" s="145"/>
      <c r="BD1304" s="145"/>
      <c r="BE1304" s="145"/>
      <c r="BF1304" s="145"/>
      <c r="BG1304" s="145"/>
      <c r="BH1304" s="145"/>
      <c r="BI1304" s="145"/>
      <c r="BJ1304" s="145"/>
      <c r="BK1304" s="145"/>
    </row>
    <row r="1305" spans="1:63" s="147" customFormat="1" ht="15" x14ac:dyDescent="0.25">
      <c r="A1305" s="59"/>
      <c r="B1305" s="98"/>
      <c r="C1305" s="102" t="s">
        <v>63</v>
      </c>
      <c r="D1305" s="102"/>
      <c r="E1305" s="102"/>
      <c r="F1305" s="102"/>
      <c r="G1305" s="102"/>
      <c r="H1305" s="41"/>
      <c r="I1305" s="42"/>
      <c r="J1305" s="42"/>
      <c r="K1305" s="42"/>
      <c r="L1305" s="45"/>
      <c r="M1305" s="42"/>
      <c r="N1305" s="45"/>
      <c r="O1305" s="42"/>
      <c r="P1305" s="50">
        <v>581.50758061071951</v>
      </c>
      <c r="Q1305" s="82"/>
      <c r="R1305" s="82"/>
      <c r="S1305" s="82"/>
      <c r="T1305" s="82"/>
      <c r="U1305" s="167"/>
      <c r="V1305" s="82"/>
      <c r="W1305" s="166"/>
      <c r="X1305" s="82"/>
      <c r="Y1305" s="82"/>
      <c r="Z1305" s="82"/>
      <c r="AA1305" s="82"/>
      <c r="AB1305" s="145"/>
      <c r="AC1305" s="145"/>
      <c r="AD1305" s="145"/>
      <c r="AE1305" s="145"/>
      <c r="AF1305" s="145"/>
      <c r="AG1305" s="145"/>
      <c r="AH1305" s="145"/>
      <c r="AI1305" s="145"/>
      <c r="AJ1305" s="145"/>
      <c r="AK1305" s="145"/>
      <c r="AL1305" s="145"/>
      <c r="AM1305" s="145"/>
      <c r="AN1305" s="145"/>
      <c r="AO1305" s="145"/>
      <c r="AP1305" s="145"/>
      <c r="AQ1305" s="145"/>
      <c r="AR1305" s="145"/>
      <c r="AS1305" s="145"/>
      <c r="AT1305" s="145"/>
      <c r="AU1305" s="145"/>
      <c r="AV1305" s="146"/>
      <c r="AW1305" s="146"/>
      <c r="AX1305" s="146"/>
      <c r="AY1305" s="146"/>
      <c r="AZ1305" s="145"/>
      <c r="BA1305" s="146"/>
      <c r="BB1305" s="145"/>
      <c r="BC1305" s="145"/>
      <c r="BD1305" s="145"/>
      <c r="BE1305" s="145"/>
      <c r="BF1305" s="145"/>
      <c r="BG1305" s="145"/>
      <c r="BH1305" s="145"/>
      <c r="BI1305" s="145"/>
      <c r="BJ1305" s="145"/>
      <c r="BK1305" s="145"/>
    </row>
    <row r="1306" spans="1:63" s="147" customFormat="1" ht="15" x14ac:dyDescent="0.25">
      <c r="A1306" s="39" t="s">
        <v>846</v>
      </c>
      <c r="B1306" s="97" t="s">
        <v>113</v>
      </c>
      <c r="C1306" s="103" t="s">
        <v>114</v>
      </c>
      <c r="D1306" s="103"/>
      <c r="E1306" s="103"/>
      <c r="F1306" s="103"/>
      <c r="G1306" s="103"/>
      <c r="H1306" s="41" t="s">
        <v>55</v>
      </c>
      <c r="I1306" s="42">
        <v>0.3624</v>
      </c>
      <c r="J1306" s="43">
        <v>1</v>
      </c>
      <c r="K1306" s="44">
        <v>0.3624</v>
      </c>
      <c r="L1306" s="45"/>
      <c r="M1306" s="42"/>
      <c r="N1306" s="45"/>
      <c r="O1306" s="42"/>
      <c r="P1306" s="50"/>
      <c r="Q1306" s="82"/>
      <c r="R1306" s="82"/>
      <c r="S1306" s="82"/>
      <c r="T1306" s="82"/>
      <c r="U1306" s="153"/>
      <c r="V1306" s="82"/>
      <c r="W1306" s="151"/>
      <c r="X1306" s="82"/>
      <c r="Y1306" s="82"/>
      <c r="Z1306" s="82"/>
      <c r="AA1306" s="82"/>
      <c r="AB1306" s="145"/>
      <c r="AC1306" s="145"/>
      <c r="AD1306" s="145"/>
      <c r="AE1306" s="145"/>
      <c r="AF1306" s="145"/>
      <c r="AG1306" s="145"/>
      <c r="AH1306" s="145"/>
      <c r="AI1306" s="145"/>
      <c r="AJ1306" s="145"/>
      <c r="AK1306" s="145"/>
      <c r="AL1306" s="145"/>
      <c r="AM1306" s="145"/>
      <c r="AN1306" s="145"/>
      <c r="AO1306" s="145"/>
      <c r="AP1306" s="145"/>
      <c r="AQ1306" s="145"/>
      <c r="AR1306" s="145"/>
      <c r="AS1306" s="145"/>
      <c r="AT1306" s="145"/>
      <c r="AU1306" s="145"/>
      <c r="AV1306" s="146"/>
      <c r="AW1306" s="146"/>
      <c r="AX1306" s="146"/>
      <c r="AY1306" s="146"/>
      <c r="AZ1306" s="145"/>
      <c r="BA1306" s="146"/>
      <c r="BB1306" s="145"/>
      <c r="BC1306" s="145"/>
      <c r="BD1306" s="145"/>
      <c r="BE1306" s="145"/>
      <c r="BF1306" s="145"/>
      <c r="BG1306" s="145"/>
      <c r="BH1306" s="145"/>
      <c r="BI1306" s="145"/>
      <c r="BJ1306" s="145"/>
      <c r="BK1306" s="145"/>
    </row>
    <row r="1307" spans="1:63" s="147" customFormat="1" ht="15" x14ac:dyDescent="0.25">
      <c r="A1307" s="47"/>
      <c r="B1307" s="48"/>
      <c r="C1307" s="102" t="s">
        <v>56</v>
      </c>
      <c r="D1307" s="102"/>
      <c r="E1307" s="102"/>
      <c r="F1307" s="102"/>
      <c r="G1307" s="102"/>
      <c r="H1307" s="41"/>
      <c r="I1307" s="42"/>
      <c r="J1307" s="42"/>
      <c r="K1307" s="42"/>
      <c r="L1307" s="45"/>
      <c r="M1307" s="42"/>
      <c r="N1307" s="49"/>
      <c r="O1307" s="42"/>
      <c r="P1307" s="50">
        <v>1936.8874999999998</v>
      </c>
      <c r="Q1307" s="157"/>
      <c r="R1307" s="157"/>
      <c r="S1307" s="82"/>
      <c r="T1307" s="82"/>
      <c r="U1307" s="156"/>
      <c r="V1307" s="82"/>
      <c r="W1307" s="166"/>
      <c r="X1307" s="82"/>
      <c r="Y1307" s="82"/>
      <c r="Z1307" s="82"/>
      <c r="AA1307" s="82"/>
      <c r="AB1307" s="145"/>
      <c r="AC1307" s="145"/>
      <c r="AD1307" s="145"/>
      <c r="AE1307" s="145"/>
      <c r="AF1307" s="145"/>
      <c r="AG1307" s="145"/>
      <c r="AH1307" s="145"/>
      <c r="AI1307" s="145"/>
      <c r="AJ1307" s="145"/>
      <c r="AK1307" s="145"/>
      <c r="AL1307" s="145"/>
      <c r="AM1307" s="145"/>
      <c r="AN1307" s="145"/>
      <c r="AO1307" s="145"/>
      <c r="AP1307" s="145"/>
      <c r="AQ1307" s="145"/>
      <c r="AR1307" s="145"/>
      <c r="AS1307" s="145"/>
      <c r="AT1307" s="145"/>
      <c r="AU1307" s="145"/>
      <c r="AV1307" s="146"/>
      <c r="AW1307" s="146"/>
      <c r="AX1307" s="146"/>
      <c r="AY1307" s="146"/>
      <c r="AZ1307" s="145"/>
      <c r="BA1307" s="146"/>
      <c r="BB1307" s="145"/>
      <c r="BC1307" s="145"/>
      <c r="BD1307" s="145"/>
      <c r="BE1307" s="145"/>
      <c r="BF1307" s="145"/>
      <c r="BG1307" s="145"/>
      <c r="BH1307" s="145"/>
      <c r="BI1307" s="145"/>
      <c r="BJ1307" s="145"/>
      <c r="BK1307" s="145"/>
    </row>
    <row r="1308" spans="1:63" s="147" customFormat="1" ht="15" x14ac:dyDescent="0.25">
      <c r="A1308" s="52"/>
      <c r="B1308" s="53"/>
      <c r="C1308" s="104" t="s">
        <v>57</v>
      </c>
      <c r="D1308" s="104"/>
      <c r="E1308" s="104"/>
      <c r="F1308" s="104"/>
      <c r="G1308" s="104"/>
      <c r="H1308" s="54"/>
      <c r="I1308" s="55"/>
      <c r="J1308" s="55"/>
      <c r="K1308" s="55"/>
      <c r="L1308" s="56"/>
      <c r="M1308" s="55"/>
      <c r="N1308" s="56"/>
      <c r="O1308" s="55"/>
      <c r="P1308" s="77">
        <v>1927.2504999999996</v>
      </c>
      <c r="Q1308" s="82"/>
      <c r="R1308" s="82"/>
      <c r="S1308" s="82"/>
      <c r="T1308" s="82"/>
      <c r="U1308" s="163"/>
      <c r="V1308" s="82"/>
      <c r="W1308" s="151"/>
      <c r="X1308" s="82"/>
      <c r="Y1308" s="82"/>
      <c r="Z1308" s="82"/>
      <c r="AA1308" s="82"/>
      <c r="AB1308" s="145"/>
      <c r="AC1308" s="145"/>
      <c r="AD1308" s="145"/>
      <c r="AE1308" s="145"/>
      <c r="AF1308" s="145"/>
      <c r="AG1308" s="145"/>
      <c r="AH1308" s="145"/>
      <c r="AI1308" s="145"/>
      <c r="AJ1308" s="145"/>
      <c r="AK1308" s="145"/>
      <c r="AL1308" s="145"/>
      <c r="AM1308" s="145"/>
      <c r="AN1308" s="145"/>
      <c r="AO1308" s="145"/>
      <c r="AP1308" s="145"/>
      <c r="AQ1308" s="145"/>
      <c r="AR1308" s="145"/>
      <c r="AS1308" s="145"/>
      <c r="AT1308" s="145"/>
      <c r="AU1308" s="145"/>
      <c r="AV1308" s="146"/>
      <c r="AW1308" s="146"/>
      <c r="AX1308" s="146"/>
      <c r="AY1308" s="146"/>
      <c r="AZ1308" s="145"/>
      <c r="BA1308" s="146"/>
      <c r="BB1308" s="145"/>
      <c r="BC1308" s="145"/>
      <c r="BD1308" s="145"/>
      <c r="BE1308" s="145"/>
      <c r="BF1308" s="145"/>
      <c r="BG1308" s="145"/>
      <c r="BH1308" s="145"/>
      <c r="BI1308" s="145"/>
      <c r="BJ1308" s="145"/>
      <c r="BK1308" s="145"/>
    </row>
    <row r="1309" spans="1:63" s="147" customFormat="1" ht="15" x14ac:dyDescent="0.25">
      <c r="A1309" s="52"/>
      <c r="B1309" s="53" t="s">
        <v>58</v>
      </c>
      <c r="C1309" s="104" t="s">
        <v>59</v>
      </c>
      <c r="D1309" s="104"/>
      <c r="E1309" s="104"/>
      <c r="F1309" s="104"/>
      <c r="G1309" s="104"/>
      <c r="H1309" s="54" t="s">
        <v>60</v>
      </c>
      <c r="I1309" s="58">
        <v>100</v>
      </c>
      <c r="J1309" s="55"/>
      <c r="K1309" s="58">
        <v>100</v>
      </c>
      <c r="L1309" s="56"/>
      <c r="M1309" s="55"/>
      <c r="N1309" s="56"/>
      <c r="O1309" s="55"/>
      <c r="P1309" s="77">
        <v>1927.2504999999996</v>
      </c>
      <c r="Q1309" s="82"/>
      <c r="R1309" s="82"/>
      <c r="S1309" s="82"/>
      <c r="T1309" s="82"/>
      <c r="U1309" s="163"/>
      <c r="V1309" s="82"/>
      <c r="W1309" s="160"/>
      <c r="X1309" s="82"/>
      <c r="Y1309" s="82"/>
      <c r="Z1309" s="82"/>
      <c r="AA1309" s="82"/>
      <c r="AB1309" s="145"/>
      <c r="AC1309" s="145"/>
      <c r="AD1309" s="145"/>
      <c r="AE1309" s="145"/>
      <c r="AF1309" s="145"/>
      <c r="AG1309" s="145"/>
      <c r="AH1309" s="145"/>
      <c r="AI1309" s="145"/>
      <c r="AJ1309" s="145"/>
      <c r="AK1309" s="145"/>
      <c r="AL1309" s="145"/>
      <c r="AM1309" s="145"/>
      <c r="AN1309" s="145"/>
      <c r="AO1309" s="145"/>
      <c r="AP1309" s="145"/>
      <c r="AQ1309" s="145"/>
      <c r="AR1309" s="145"/>
      <c r="AS1309" s="145"/>
      <c r="AT1309" s="145"/>
      <c r="AU1309" s="145"/>
      <c r="AV1309" s="146"/>
      <c r="AW1309" s="146"/>
      <c r="AX1309" s="146"/>
      <c r="AY1309" s="146"/>
      <c r="AZ1309" s="145"/>
      <c r="BA1309" s="146"/>
      <c r="BB1309" s="145"/>
      <c r="BC1309" s="145"/>
      <c r="BD1309" s="145"/>
      <c r="BE1309" s="145"/>
      <c r="BF1309" s="145"/>
      <c r="BG1309" s="145"/>
      <c r="BH1309" s="145"/>
      <c r="BI1309" s="145"/>
      <c r="BJ1309" s="145"/>
      <c r="BK1309" s="145"/>
    </row>
    <row r="1310" spans="1:63" s="147" customFormat="1" ht="15" x14ac:dyDescent="0.25">
      <c r="A1310" s="52"/>
      <c r="B1310" s="53" t="s">
        <v>61</v>
      </c>
      <c r="C1310" s="104" t="s">
        <v>62</v>
      </c>
      <c r="D1310" s="104"/>
      <c r="E1310" s="104"/>
      <c r="F1310" s="104"/>
      <c r="G1310" s="104"/>
      <c r="H1310" s="54" t="s">
        <v>60</v>
      </c>
      <c r="I1310" s="58">
        <v>49</v>
      </c>
      <c r="J1310" s="55"/>
      <c r="K1310" s="58">
        <v>49</v>
      </c>
      <c r="L1310" s="56"/>
      <c r="M1310" s="55"/>
      <c r="N1310" s="56"/>
      <c r="O1310" s="55"/>
      <c r="P1310" s="77">
        <v>944.35699999999986</v>
      </c>
      <c r="Q1310" s="82"/>
      <c r="R1310" s="82"/>
      <c r="S1310" s="82"/>
      <c r="T1310" s="82"/>
      <c r="U1310" s="170"/>
      <c r="V1310" s="82"/>
      <c r="W1310" s="164"/>
      <c r="X1310" s="82"/>
      <c r="Y1310" s="82"/>
      <c r="Z1310" s="82"/>
      <c r="AA1310" s="82"/>
      <c r="AB1310" s="145"/>
      <c r="AC1310" s="145"/>
      <c r="AD1310" s="145"/>
      <c r="AE1310" s="145"/>
      <c r="AF1310" s="145"/>
      <c r="AG1310" s="145"/>
      <c r="AH1310" s="145"/>
      <c r="AI1310" s="145"/>
      <c r="AJ1310" s="145"/>
      <c r="AK1310" s="145"/>
      <c r="AL1310" s="145"/>
      <c r="AM1310" s="145"/>
      <c r="AN1310" s="145"/>
      <c r="AO1310" s="145"/>
      <c r="AP1310" s="145"/>
      <c r="AQ1310" s="145"/>
      <c r="AR1310" s="145"/>
      <c r="AS1310" s="145"/>
      <c r="AT1310" s="145"/>
      <c r="AU1310" s="145"/>
      <c r="AV1310" s="146"/>
      <c r="AW1310" s="146"/>
      <c r="AX1310" s="146"/>
      <c r="AY1310" s="146"/>
      <c r="AZ1310" s="145"/>
      <c r="BA1310" s="146"/>
      <c r="BB1310" s="145"/>
      <c r="BC1310" s="145"/>
      <c r="BD1310" s="145"/>
      <c r="BE1310" s="145"/>
      <c r="BF1310" s="145"/>
      <c r="BG1310" s="145"/>
      <c r="BH1310" s="145"/>
      <c r="BI1310" s="145"/>
      <c r="BJ1310" s="145"/>
      <c r="BK1310" s="145"/>
    </row>
    <row r="1311" spans="1:63" s="147" customFormat="1" ht="15" x14ac:dyDescent="0.25">
      <c r="A1311" s="59"/>
      <c r="B1311" s="98"/>
      <c r="C1311" s="102" t="s">
        <v>63</v>
      </c>
      <c r="D1311" s="102"/>
      <c r="E1311" s="102"/>
      <c r="F1311" s="102"/>
      <c r="G1311" s="102"/>
      <c r="H1311" s="41"/>
      <c r="I1311" s="42"/>
      <c r="J1311" s="42"/>
      <c r="K1311" s="42"/>
      <c r="L1311" s="45"/>
      <c r="M1311" s="42"/>
      <c r="N1311" s="49">
        <v>30654.69</v>
      </c>
      <c r="O1311" s="42"/>
      <c r="P1311" s="50">
        <v>15831.074692082113</v>
      </c>
      <c r="Q1311" s="82"/>
      <c r="R1311" s="82"/>
      <c r="S1311" s="82"/>
      <c r="T1311" s="82"/>
      <c r="U1311" s="156"/>
      <c r="V1311" s="82"/>
      <c r="W1311" s="164"/>
      <c r="X1311" s="82"/>
      <c r="Y1311" s="82"/>
      <c r="Z1311" s="82"/>
      <c r="AA1311" s="82"/>
      <c r="AB1311" s="145"/>
      <c r="AC1311" s="145"/>
      <c r="AD1311" s="145"/>
      <c r="AE1311" s="145"/>
      <c r="AF1311" s="145"/>
      <c r="AG1311" s="145"/>
      <c r="AH1311" s="145"/>
      <c r="AI1311" s="145"/>
      <c r="AJ1311" s="145"/>
      <c r="AK1311" s="145"/>
      <c r="AL1311" s="145"/>
      <c r="AM1311" s="145"/>
      <c r="AN1311" s="145"/>
      <c r="AO1311" s="145"/>
      <c r="AP1311" s="145"/>
      <c r="AQ1311" s="145"/>
      <c r="AR1311" s="145"/>
      <c r="AS1311" s="145"/>
      <c r="AT1311" s="145"/>
      <c r="AU1311" s="145"/>
      <c r="AV1311" s="146"/>
      <c r="AW1311" s="146"/>
      <c r="AX1311" s="146"/>
      <c r="AY1311" s="146"/>
      <c r="AZ1311" s="145"/>
      <c r="BA1311" s="146"/>
      <c r="BB1311" s="145"/>
      <c r="BC1311" s="145"/>
      <c r="BD1311" s="145"/>
      <c r="BE1311" s="145"/>
      <c r="BF1311" s="145"/>
      <c r="BG1311" s="145"/>
      <c r="BH1311" s="145"/>
      <c r="BI1311" s="145"/>
      <c r="BJ1311" s="145"/>
      <c r="BK1311" s="145"/>
    </row>
    <row r="1312" spans="1:63" s="147" customFormat="1" ht="15" x14ac:dyDescent="0.25">
      <c r="A1312" s="39" t="s">
        <v>847</v>
      </c>
      <c r="B1312" s="97" t="s">
        <v>116</v>
      </c>
      <c r="C1312" s="103" t="s">
        <v>117</v>
      </c>
      <c r="D1312" s="103"/>
      <c r="E1312" s="103"/>
      <c r="F1312" s="103"/>
      <c r="G1312" s="103"/>
      <c r="H1312" s="41" t="s">
        <v>67</v>
      </c>
      <c r="I1312" s="42">
        <f>115.94*4</f>
        <v>463.76</v>
      </c>
      <c r="J1312" s="43">
        <v>1</v>
      </c>
      <c r="K1312" s="62">
        <v>463.76</v>
      </c>
      <c r="L1312" s="61">
        <v>17.34</v>
      </c>
      <c r="M1312" s="62">
        <v>1.42</v>
      </c>
      <c r="N1312" s="61">
        <v>24.62</v>
      </c>
      <c r="O1312" s="42"/>
      <c r="P1312" s="50">
        <v>13130.423999999999</v>
      </c>
      <c r="Q1312" s="82"/>
      <c r="R1312" s="82"/>
      <c r="S1312" s="82"/>
      <c r="T1312" s="82"/>
      <c r="U1312" s="156"/>
      <c r="V1312" s="82"/>
      <c r="W1312" s="151"/>
      <c r="X1312" s="82"/>
      <c r="Y1312" s="82"/>
      <c r="Z1312" s="82"/>
      <c r="AA1312" s="82"/>
      <c r="AB1312" s="145"/>
      <c r="AC1312" s="145"/>
      <c r="AD1312" s="145"/>
      <c r="AE1312" s="145"/>
      <c r="AF1312" s="145"/>
      <c r="AG1312" s="145"/>
      <c r="AH1312" s="145"/>
      <c r="AI1312" s="145"/>
      <c r="AJ1312" s="145"/>
      <c r="AK1312" s="145"/>
      <c r="AL1312" s="145"/>
      <c r="AM1312" s="145"/>
      <c r="AN1312" s="145"/>
      <c r="AO1312" s="145"/>
      <c r="AP1312" s="145"/>
      <c r="AQ1312" s="145"/>
      <c r="AR1312" s="145"/>
      <c r="AS1312" s="145"/>
      <c r="AT1312" s="145"/>
      <c r="AU1312" s="145"/>
      <c r="AV1312" s="146"/>
      <c r="AW1312" s="146"/>
      <c r="AX1312" s="146"/>
      <c r="AY1312" s="146"/>
      <c r="AZ1312" s="145"/>
      <c r="BA1312" s="146"/>
      <c r="BB1312" s="145"/>
      <c r="BC1312" s="145"/>
      <c r="BD1312" s="145"/>
      <c r="BE1312" s="145"/>
      <c r="BF1312" s="145"/>
      <c r="BG1312" s="145"/>
      <c r="BH1312" s="145"/>
      <c r="BI1312" s="145"/>
      <c r="BJ1312" s="145"/>
      <c r="BK1312" s="145"/>
    </row>
    <row r="1313" spans="1:63" s="147" customFormat="1" ht="15" x14ac:dyDescent="0.25">
      <c r="A1313" s="59"/>
      <c r="B1313" s="98"/>
      <c r="C1313" s="102" t="s">
        <v>63</v>
      </c>
      <c r="D1313" s="102"/>
      <c r="E1313" s="102"/>
      <c r="F1313" s="102"/>
      <c r="G1313" s="102"/>
      <c r="H1313" s="41"/>
      <c r="I1313" s="42"/>
      <c r="J1313" s="42"/>
      <c r="K1313" s="42"/>
      <c r="L1313" s="45"/>
      <c r="M1313" s="42"/>
      <c r="N1313" s="45"/>
      <c r="O1313" s="42"/>
      <c r="P1313" s="50">
        <v>13130.423999999999</v>
      </c>
      <c r="Q1313" s="82"/>
      <c r="R1313" s="82"/>
      <c r="S1313" s="82"/>
      <c r="T1313" s="82"/>
      <c r="U1313" s="156"/>
      <c r="V1313" s="82"/>
      <c r="W1313" s="168"/>
      <c r="X1313" s="82"/>
      <c r="Y1313" s="82"/>
      <c r="Z1313" s="82"/>
      <c r="AA1313" s="82"/>
      <c r="AB1313" s="145"/>
      <c r="AC1313" s="145"/>
      <c r="AD1313" s="145"/>
      <c r="AE1313" s="145"/>
      <c r="AF1313" s="145"/>
      <c r="AG1313" s="145"/>
      <c r="AH1313" s="145"/>
      <c r="AI1313" s="145"/>
      <c r="AJ1313" s="145"/>
      <c r="AK1313" s="145"/>
      <c r="AL1313" s="145"/>
      <c r="AM1313" s="145"/>
      <c r="AN1313" s="145"/>
      <c r="AO1313" s="145"/>
      <c r="AP1313" s="145"/>
      <c r="AQ1313" s="145"/>
      <c r="AR1313" s="145"/>
      <c r="AS1313" s="145"/>
      <c r="AT1313" s="145"/>
      <c r="AU1313" s="145"/>
      <c r="AV1313" s="146"/>
      <c r="AW1313" s="146"/>
      <c r="AX1313" s="146"/>
      <c r="AY1313" s="146"/>
      <c r="AZ1313" s="145"/>
      <c r="BA1313" s="146"/>
      <c r="BB1313" s="145"/>
      <c r="BC1313" s="145"/>
      <c r="BD1313" s="145"/>
      <c r="BE1313" s="145"/>
      <c r="BF1313" s="145"/>
      <c r="BG1313" s="145"/>
      <c r="BH1313" s="145"/>
      <c r="BI1313" s="145"/>
      <c r="BJ1313" s="145"/>
      <c r="BK1313" s="145"/>
    </row>
    <row r="1314" spans="1:63" s="147" customFormat="1" ht="15" x14ac:dyDescent="0.25">
      <c r="A1314" s="39" t="s">
        <v>848</v>
      </c>
      <c r="B1314" s="97" t="s">
        <v>119</v>
      </c>
      <c r="C1314" s="103" t="s">
        <v>120</v>
      </c>
      <c r="D1314" s="103"/>
      <c r="E1314" s="103"/>
      <c r="F1314" s="103"/>
      <c r="G1314" s="103"/>
      <c r="H1314" s="41" t="s">
        <v>105</v>
      </c>
      <c r="I1314" s="42">
        <f>1*4.3*2+3</f>
        <v>11.6</v>
      </c>
      <c r="J1314" s="43">
        <v>1</v>
      </c>
      <c r="K1314" s="44">
        <v>11.6</v>
      </c>
      <c r="L1314" s="61">
        <v>50.99</v>
      </c>
      <c r="M1314" s="62">
        <v>1.1599999999999999</v>
      </c>
      <c r="N1314" s="61">
        <v>59.15</v>
      </c>
      <c r="O1314" s="42"/>
      <c r="P1314" s="50">
        <v>789.05896728192738</v>
      </c>
      <c r="Q1314" s="82"/>
      <c r="R1314" s="82"/>
      <c r="S1314" s="82"/>
      <c r="T1314" s="82"/>
      <c r="U1314" s="167"/>
      <c r="V1314" s="82"/>
      <c r="W1314" s="151"/>
      <c r="X1314" s="82"/>
      <c r="Y1314" s="82"/>
      <c r="Z1314" s="82"/>
      <c r="AA1314" s="82"/>
      <c r="AB1314" s="145"/>
      <c r="AC1314" s="145"/>
      <c r="AD1314" s="145"/>
      <c r="AE1314" s="145"/>
      <c r="AF1314" s="145"/>
      <c r="AG1314" s="145"/>
      <c r="AH1314" s="145"/>
      <c r="AI1314" s="145"/>
      <c r="AJ1314" s="145"/>
      <c r="AK1314" s="145"/>
      <c r="AL1314" s="145"/>
      <c r="AM1314" s="145"/>
      <c r="AN1314" s="145"/>
      <c r="AO1314" s="145"/>
      <c r="AP1314" s="145"/>
      <c r="AQ1314" s="145"/>
      <c r="AR1314" s="145"/>
      <c r="AS1314" s="145"/>
      <c r="AT1314" s="145"/>
      <c r="AU1314" s="145"/>
      <c r="AV1314" s="146"/>
      <c r="AW1314" s="146"/>
      <c r="AX1314" s="146"/>
      <c r="AY1314" s="146"/>
      <c r="AZ1314" s="145"/>
      <c r="BA1314" s="146"/>
      <c r="BB1314" s="145"/>
      <c r="BC1314" s="145"/>
      <c r="BD1314" s="145"/>
      <c r="BE1314" s="145"/>
      <c r="BF1314" s="145"/>
      <c r="BG1314" s="145"/>
      <c r="BH1314" s="145"/>
      <c r="BI1314" s="145"/>
      <c r="BJ1314" s="145"/>
      <c r="BK1314" s="145"/>
    </row>
    <row r="1315" spans="1:63" s="147" customFormat="1" ht="15" x14ac:dyDescent="0.25">
      <c r="A1315" s="59"/>
      <c r="B1315" s="98"/>
      <c r="C1315" s="102" t="s">
        <v>63</v>
      </c>
      <c r="D1315" s="102"/>
      <c r="E1315" s="102"/>
      <c r="F1315" s="102"/>
      <c r="G1315" s="102"/>
      <c r="H1315" s="41"/>
      <c r="I1315" s="42"/>
      <c r="J1315" s="42"/>
      <c r="K1315" s="42"/>
      <c r="L1315" s="45"/>
      <c r="M1315" s="42"/>
      <c r="N1315" s="45"/>
      <c r="O1315" s="42"/>
      <c r="P1315" s="50">
        <v>789.05896728192738</v>
      </c>
      <c r="Q1315" s="82"/>
      <c r="R1315" s="82"/>
      <c r="S1315" s="82"/>
      <c r="T1315" s="82"/>
      <c r="U1315" s="167"/>
      <c r="V1315" s="82"/>
      <c r="W1315" s="166"/>
      <c r="X1315" s="82"/>
      <c r="Y1315" s="82"/>
      <c r="Z1315" s="82"/>
      <c r="AA1315" s="82"/>
      <c r="AB1315" s="145"/>
      <c r="AC1315" s="145"/>
      <c r="AD1315" s="145"/>
      <c r="AE1315" s="145"/>
      <c r="AF1315" s="145"/>
      <c r="AG1315" s="145"/>
      <c r="AH1315" s="145"/>
      <c r="AI1315" s="145"/>
      <c r="AJ1315" s="145"/>
      <c r="AK1315" s="145"/>
      <c r="AL1315" s="145"/>
      <c r="AM1315" s="145"/>
      <c r="AN1315" s="145"/>
      <c r="AO1315" s="145"/>
      <c r="AP1315" s="145"/>
      <c r="AQ1315" s="145"/>
      <c r="AR1315" s="145"/>
      <c r="AS1315" s="145"/>
      <c r="AT1315" s="145"/>
      <c r="AU1315" s="145"/>
      <c r="AV1315" s="146"/>
      <c r="AW1315" s="146"/>
      <c r="AX1315" s="146"/>
      <c r="AY1315" s="146"/>
      <c r="AZ1315" s="145"/>
      <c r="BA1315" s="146"/>
      <c r="BB1315" s="145"/>
      <c r="BC1315" s="145"/>
      <c r="BD1315" s="145"/>
      <c r="BE1315" s="145"/>
      <c r="BF1315" s="145"/>
      <c r="BG1315" s="145"/>
      <c r="BH1315" s="145"/>
      <c r="BI1315" s="145"/>
      <c r="BJ1315" s="145"/>
      <c r="BK1315" s="145"/>
    </row>
    <row r="1316" spans="1:63" s="147" customFormat="1" ht="15" x14ac:dyDescent="0.25">
      <c r="A1316" s="39" t="s">
        <v>849</v>
      </c>
      <c r="B1316" s="97" t="s">
        <v>110</v>
      </c>
      <c r="C1316" s="103" t="s">
        <v>111</v>
      </c>
      <c r="D1316" s="103"/>
      <c r="E1316" s="103"/>
      <c r="F1316" s="103"/>
      <c r="G1316" s="103"/>
      <c r="H1316" s="41" t="s">
        <v>67</v>
      </c>
      <c r="I1316" s="42">
        <v>2.7280000000000002</v>
      </c>
      <c r="J1316" s="43">
        <v>1</v>
      </c>
      <c r="K1316" s="66">
        <v>2.7280000000000002</v>
      </c>
      <c r="L1316" s="61">
        <v>65.84</v>
      </c>
      <c r="M1316" s="67">
        <v>1.2</v>
      </c>
      <c r="N1316" s="61">
        <v>79.010000000000005</v>
      </c>
      <c r="O1316" s="42"/>
      <c r="P1316" s="50">
        <v>247.87099999999998</v>
      </c>
      <c r="Q1316" s="82"/>
      <c r="R1316" s="82"/>
      <c r="S1316" s="82"/>
      <c r="T1316" s="82"/>
      <c r="U1316" s="167"/>
      <c r="V1316" s="82"/>
      <c r="W1316" s="151"/>
      <c r="X1316" s="82"/>
      <c r="Y1316" s="82"/>
      <c r="Z1316" s="82"/>
      <c r="AA1316" s="82"/>
      <c r="AB1316" s="145"/>
      <c r="AC1316" s="145"/>
      <c r="AD1316" s="145"/>
      <c r="AE1316" s="145"/>
      <c r="AF1316" s="145"/>
      <c r="AG1316" s="145"/>
      <c r="AH1316" s="145"/>
      <c r="AI1316" s="145"/>
      <c r="AJ1316" s="145"/>
      <c r="AK1316" s="145"/>
      <c r="AL1316" s="145"/>
      <c r="AM1316" s="145"/>
      <c r="AN1316" s="145"/>
      <c r="AO1316" s="145"/>
      <c r="AP1316" s="145"/>
      <c r="AQ1316" s="145"/>
      <c r="AR1316" s="145"/>
      <c r="AS1316" s="145"/>
      <c r="AT1316" s="145"/>
      <c r="AU1316" s="145"/>
      <c r="AV1316" s="146"/>
      <c r="AW1316" s="146"/>
      <c r="AX1316" s="146"/>
      <c r="AY1316" s="146"/>
      <c r="AZ1316" s="145"/>
      <c r="BA1316" s="146"/>
      <c r="BB1316" s="145"/>
      <c r="BC1316" s="145"/>
      <c r="BD1316" s="145"/>
      <c r="BE1316" s="145"/>
      <c r="BF1316" s="145"/>
      <c r="BG1316" s="145"/>
      <c r="BH1316" s="145"/>
      <c r="BI1316" s="145"/>
      <c r="BJ1316" s="145"/>
      <c r="BK1316" s="145"/>
    </row>
    <row r="1317" spans="1:63" s="147" customFormat="1" ht="15" x14ac:dyDescent="0.25">
      <c r="A1317" s="59"/>
      <c r="B1317" s="98"/>
      <c r="C1317" s="102" t="s">
        <v>63</v>
      </c>
      <c r="D1317" s="102"/>
      <c r="E1317" s="102"/>
      <c r="F1317" s="102"/>
      <c r="G1317" s="102"/>
      <c r="H1317" s="41"/>
      <c r="I1317" s="42"/>
      <c r="J1317" s="42"/>
      <c r="K1317" s="42"/>
      <c r="L1317" s="45"/>
      <c r="M1317" s="42"/>
      <c r="N1317" s="45"/>
      <c r="O1317" s="42"/>
      <c r="P1317" s="50">
        <v>247.87099999999998</v>
      </c>
      <c r="Q1317" s="82"/>
      <c r="R1317" s="82"/>
      <c r="S1317" s="82"/>
      <c r="T1317" s="82"/>
      <c r="U1317" s="167"/>
      <c r="V1317" s="82"/>
      <c r="W1317" s="171"/>
      <c r="X1317" s="82"/>
      <c r="Y1317" s="82"/>
      <c r="Z1317" s="82"/>
      <c r="AA1317" s="82"/>
      <c r="AB1317" s="145"/>
      <c r="AC1317" s="145"/>
      <c r="AD1317" s="145"/>
      <c r="AE1317" s="145"/>
      <c r="AF1317" s="145"/>
      <c r="AG1317" s="145"/>
      <c r="AH1317" s="145"/>
      <c r="AI1317" s="145"/>
      <c r="AJ1317" s="145"/>
      <c r="AK1317" s="145"/>
      <c r="AL1317" s="145"/>
      <c r="AM1317" s="145"/>
      <c r="AN1317" s="145"/>
      <c r="AO1317" s="145"/>
      <c r="AP1317" s="145"/>
      <c r="AQ1317" s="145"/>
      <c r="AR1317" s="145"/>
      <c r="AS1317" s="145"/>
      <c r="AT1317" s="145"/>
      <c r="AU1317" s="145"/>
      <c r="AV1317" s="146"/>
      <c r="AW1317" s="146"/>
      <c r="AX1317" s="146"/>
      <c r="AY1317" s="146"/>
      <c r="AZ1317" s="145"/>
      <c r="BA1317" s="146"/>
      <c r="BB1317" s="145"/>
      <c r="BC1317" s="145"/>
      <c r="BD1317" s="145"/>
      <c r="BE1317" s="145"/>
      <c r="BF1317" s="145"/>
      <c r="BG1317" s="145"/>
      <c r="BH1317" s="145"/>
      <c r="BI1317" s="145"/>
      <c r="BJ1317" s="145"/>
      <c r="BK1317" s="145"/>
    </row>
    <row r="1318" spans="1:63" s="147" customFormat="1" ht="15" x14ac:dyDescent="0.25">
      <c r="A1318" s="39" t="s">
        <v>850</v>
      </c>
      <c r="B1318" s="97" t="s">
        <v>123</v>
      </c>
      <c r="C1318" s="103" t="s">
        <v>124</v>
      </c>
      <c r="D1318" s="103"/>
      <c r="E1318" s="103"/>
      <c r="F1318" s="103"/>
      <c r="G1318" s="103"/>
      <c r="H1318" s="41" t="s">
        <v>125</v>
      </c>
      <c r="I1318" s="42">
        <v>0.27</v>
      </c>
      <c r="J1318" s="43">
        <v>1</v>
      </c>
      <c r="K1318" s="62">
        <v>0.27</v>
      </c>
      <c r="L1318" s="45"/>
      <c r="M1318" s="42"/>
      <c r="N1318" s="45"/>
      <c r="O1318" s="42"/>
      <c r="P1318" s="50"/>
      <c r="Q1318" s="82"/>
      <c r="R1318" s="82"/>
      <c r="S1318" s="82"/>
      <c r="T1318" s="82"/>
      <c r="U1318" s="153"/>
      <c r="V1318" s="82"/>
      <c r="W1318" s="151"/>
      <c r="X1318" s="82"/>
      <c r="Y1318" s="82"/>
      <c r="Z1318" s="82"/>
      <c r="AA1318" s="82"/>
      <c r="AB1318" s="145"/>
      <c r="AC1318" s="145"/>
      <c r="AD1318" s="145"/>
      <c r="AE1318" s="145"/>
      <c r="AF1318" s="145"/>
      <c r="AG1318" s="145"/>
      <c r="AH1318" s="145"/>
      <c r="AI1318" s="145"/>
      <c r="AJ1318" s="145"/>
      <c r="AK1318" s="145"/>
      <c r="AL1318" s="145"/>
      <c r="AM1318" s="145"/>
      <c r="AN1318" s="145"/>
      <c r="AO1318" s="145"/>
      <c r="AP1318" s="145"/>
      <c r="AQ1318" s="145"/>
      <c r="AR1318" s="145"/>
      <c r="AS1318" s="145"/>
      <c r="AT1318" s="145"/>
      <c r="AU1318" s="145"/>
      <c r="AV1318" s="146"/>
      <c r="AW1318" s="146"/>
      <c r="AX1318" s="146"/>
      <c r="AY1318" s="146"/>
      <c r="AZ1318" s="145"/>
      <c r="BA1318" s="146"/>
      <c r="BB1318" s="145"/>
      <c r="BC1318" s="145"/>
      <c r="BD1318" s="145"/>
      <c r="BE1318" s="145"/>
      <c r="BF1318" s="145"/>
      <c r="BG1318" s="145"/>
      <c r="BH1318" s="145"/>
      <c r="BI1318" s="145"/>
      <c r="BJ1318" s="145"/>
      <c r="BK1318" s="145"/>
    </row>
    <row r="1319" spans="1:63" s="147" customFormat="1" ht="15" x14ac:dyDescent="0.25">
      <c r="A1319" s="47"/>
      <c r="B1319" s="48"/>
      <c r="C1319" s="102" t="s">
        <v>56</v>
      </c>
      <c r="D1319" s="102"/>
      <c r="E1319" s="102"/>
      <c r="F1319" s="102"/>
      <c r="G1319" s="102"/>
      <c r="H1319" s="41"/>
      <c r="I1319" s="42"/>
      <c r="J1319" s="42"/>
      <c r="K1319" s="42"/>
      <c r="L1319" s="45"/>
      <c r="M1319" s="42"/>
      <c r="N1319" s="49"/>
      <c r="O1319" s="42"/>
      <c r="P1319" s="50">
        <v>844.41049999999996</v>
      </c>
      <c r="Q1319" s="157"/>
      <c r="R1319" s="157"/>
      <c r="S1319" s="82"/>
      <c r="T1319" s="82"/>
      <c r="U1319" s="156"/>
      <c r="V1319" s="82"/>
      <c r="W1319" s="168"/>
      <c r="X1319" s="82"/>
      <c r="Y1319" s="82"/>
      <c r="Z1319" s="82"/>
      <c r="AA1319" s="82"/>
      <c r="AB1319" s="145"/>
      <c r="AC1319" s="145"/>
      <c r="AD1319" s="145"/>
      <c r="AE1319" s="145"/>
      <c r="AF1319" s="145"/>
      <c r="AG1319" s="145"/>
      <c r="AH1319" s="145"/>
      <c r="AI1319" s="145"/>
      <c r="AJ1319" s="145"/>
      <c r="AK1319" s="145"/>
      <c r="AL1319" s="145"/>
      <c r="AM1319" s="145"/>
      <c r="AN1319" s="145"/>
      <c r="AO1319" s="145"/>
      <c r="AP1319" s="145"/>
      <c r="AQ1319" s="145"/>
      <c r="AR1319" s="145"/>
      <c r="AS1319" s="145"/>
      <c r="AT1319" s="145"/>
      <c r="AU1319" s="145"/>
      <c r="AV1319" s="146"/>
      <c r="AW1319" s="146"/>
      <c r="AX1319" s="146"/>
      <c r="AY1319" s="146"/>
      <c r="AZ1319" s="145"/>
      <c r="BA1319" s="146"/>
      <c r="BB1319" s="145"/>
      <c r="BC1319" s="145"/>
      <c r="BD1319" s="145"/>
      <c r="BE1319" s="145"/>
      <c r="BF1319" s="145"/>
      <c r="BG1319" s="145"/>
      <c r="BH1319" s="145"/>
      <c r="BI1319" s="145"/>
      <c r="BJ1319" s="145"/>
      <c r="BK1319" s="145"/>
    </row>
    <row r="1320" spans="1:63" s="147" customFormat="1" ht="15" x14ac:dyDescent="0.25">
      <c r="A1320" s="52"/>
      <c r="B1320" s="53"/>
      <c r="C1320" s="104" t="s">
        <v>57</v>
      </c>
      <c r="D1320" s="104"/>
      <c r="E1320" s="104"/>
      <c r="F1320" s="104"/>
      <c r="G1320" s="104"/>
      <c r="H1320" s="54"/>
      <c r="I1320" s="55"/>
      <c r="J1320" s="55"/>
      <c r="K1320" s="55"/>
      <c r="L1320" s="56"/>
      <c r="M1320" s="55"/>
      <c r="N1320" s="56"/>
      <c r="O1320" s="55"/>
      <c r="P1320" s="77">
        <v>764.66949999999986</v>
      </c>
      <c r="Q1320" s="82"/>
      <c r="R1320" s="82"/>
      <c r="S1320" s="82"/>
      <c r="T1320" s="82"/>
      <c r="U1320" s="170"/>
      <c r="V1320" s="82"/>
      <c r="W1320" s="151"/>
      <c r="X1320" s="82"/>
      <c r="Y1320" s="82"/>
      <c r="Z1320" s="82"/>
      <c r="AA1320" s="82"/>
      <c r="AB1320" s="145"/>
      <c r="AC1320" s="145"/>
      <c r="AD1320" s="145"/>
      <c r="AE1320" s="145"/>
      <c r="AF1320" s="145"/>
      <c r="AG1320" s="145"/>
      <c r="AH1320" s="145"/>
      <c r="AI1320" s="145"/>
      <c r="AJ1320" s="145"/>
      <c r="AK1320" s="145"/>
      <c r="AL1320" s="145"/>
      <c r="AM1320" s="145"/>
      <c r="AN1320" s="145"/>
      <c r="AO1320" s="145"/>
      <c r="AP1320" s="145"/>
      <c r="AQ1320" s="145"/>
      <c r="AR1320" s="145"/>
      <c r="AS1320" s="145"/>
      <c r="AT1320" s="145"/>
      <c r="AU1320" s="145"/>
      <c r="AV1320" s="146"/>
      <c r="AW1320" s="146"/>
      <c r="AX1320" s="146"/>
      <c r="AY1320" s="146"/>
      <c r="AZ1320" s="145"/>
      <c r="BA1320" s="146"/>
      <c r="BB1320" s="145"/>
      <c r="BC1320" s="145"/>
      <c r="BD1320" s="145"/>
      <c r="BE1320" s="145"/>
      <c r="BF1320" s="145"/>
      <c r="BG1320" s="145"/>
      <c r="BH1320" s="145"/>
      <c r="BI1320" s="145"/>
      <c r="BJ1320" s="145"/>
      <c r="BK1320" s="145"/>
    </row>
    <row r="1321" spans="1:63" s="147" customFormat="1" ht="15" x14ac:dyDescent="0.25">
      <c r="A1321" s="52"/>
      <c r="B1321" s="53" t="s">
        <v>98</v>
      </c>
      <c r="C1321" s="104" t="s">
        <v>99</v>
      </c>
      <c r="D1321" s="104"/>
      <c r="E1321" s="104"/>
      <c r="F1321" s="104"/>
      <c r="G1321" s="104"/>
      <c r="H1321" s="54" t="s">
        <v>60</v>
      </c>
      <c r="I1321" s="58">
        <v>108</v>
      </c>
      <c r="J1321" s="55"/>
      <c r="K1321" s="58">
        <v>108</v>
      </c>
      <c r="L1321" s="56"/>
      <c r="M1321" s="55"/>
      <c r="N1321" s="56"/>
      <c r="O1321" s="55"/>
      <c r="P1321" s="77">
        <v>825.83799999999997</v>
      </c>
      <c r="Q1321" s="82"/>
      <c r="R1321" s="82"/>
      <c r="S1321" s="82"/>
      <c r="T1321" s="82"/>
      <c r="U1321" s="170"/>
      <c r="V1321" s="82"/>
      <c r="W1321" s="160"/>
      <c r="X1321" s="82"/>
      <c r="Y1321" s="82"/>
      <c r="Z1321" s="82"/>
      <c r="AA1321" s="82"/>
      <c r="AB1321" s="145"/>
      <c r="AC1321" s="145"/>
      <c r="AD1321" s="145"/>
      <c r="AE1321" s="145"/>
      <c r="AF1321" s="145"/>
      <c r="AG1321" s="145"/>
      <c r="AH1321" s="145"/>
      <c r="AI1321" s="145"/>
      <c r="AJ1321" s="145"/>
      <c r="AK1321" s="145"/>
      <c r="AL1321" s="145"/>
      <c r="AM1321" s="145"/>
      <c r="AN1321" s="145"/>
      <c r="AO1321" s="145"/>
      <c r="AP1321" s="145"/>
      <c r="AQ1321" s="145"/>
      <c r="AR1321" s="145"/>
      <c r="AS1321" s="145"/>
      <c r="AT1321" s="145"/>
      <c r="AU1321" s="145"/>
      <c r="AV1321" s="146"/>
      <c r="AW1321" s="146"/>
      <c r="AX1321" s="146"/>
      <c r="AY1321" s="146"/>
      <c r="AZ1321" s="145"/>
      <c r="BA1321" s="146"/>
      <c r="BB1321" s="145"/>
      <c r="BC1321" s="145"/>
      <c r="BD1321" s="145"/>
      <c r="BE1321" s="145"/>
      <c r="BF1321" s="145"/>
      <c r="BG1321" s="145"/>
      <c r="BH1321" s="145"/>
      <c r="BI1321" s="145"/>
      <c r="BJ1321" s="145"/>
      <c r="BK1321" s="145"/>
    </row>
    <row r="1322" spans="1:63" s="147" customFormat="1" ht="15" x14ac:dyDescent="0.25">
      <c r="A1322" s="52"/>
      <c r="B1322" s="53" t="s">
        <v>100</v>
      </c>
      <c r="C1322" s="104" t="s">
        <v>101</v>
      </c>
      <c r="D1322" s="104"/>
      <c r="E1322" s="104"/>
      <c r="F1322" s="104"/>
      <c r="G1322" s="104"/>
      <c r="H1322" s="54" t="s">
        <v>60</v>
      </c>
      <c r="I1322" s="58">
        <v>55</v>
      </c>
      <c r="J1322" s="55"/>
      <c r="K1322" s="58">
        <v>55</v>
      </c>
      <c r="L1322" s="56"/>
      <c r="M1322" s="55"/>
      <c r="N1322" s="56"/>
      <c r="O1322" s="55"/>
      <c r="P1322" s="77">
        <v>420.56649999999996</v>
      </c>
      <c r="Q1322" s="82"/>
      <c r="R1322" s="82"/>
      <c r="S1322" s="82"/>
      <c r="T1322" s="82"/>
      <c r="U1322" s="170"/>
      <c r="V1322" s="82"/>
      <c r="W1322" s="164"/>
      <c r="X1322" s="82"/>
      <c r="Y1322" s="82"/>
      <c r="Z1322" s="82"/>
      <c r="AA1322" s="82"/>
      <c r="AB1322" s="145"/>
      <c r="AC1322" s="145"/>
      <c r="AD1322" s="145"/>
      <c r="AE1322" s="145"/>
      <c r="AF1322" s="145"/>
      <c r="AG1322" s="145"/>
      <c r="AH1322" s="145"/>
      <c r="AI1322" s="145"/>
      <c r="AJ1322" s="145"/>
      <c r="AK1322" s="145"/>
      <c r="AL1322" s="145"/>
      <c r="AM1322" s="145"/>
      <c r="AN1322" s="145"/>
      <c r="AO1322" s="145"/>
      <c r="AP1322" s="145"/>
      <c r="AQ1322" s="145"/>
      <c r="AR1322" s="145"/>
      <c r="AS1322" s="145"/>
      <c r="AT1322" s="145"/>
      <c r="AU1322" s="145"/>
      <c r="AV1322" s="146"/>
      <c r="AW1322" s="146"/>
      <c r="AX1322" s="146"/>
      <c r="AY1322" s="146"/>
      <c r="AZ1322" s="145"/>
      <c r="BA1322" s="146"/>
      <c r="BB1322" s="145"/>
      <c r="BC1322" s="145"/>
      <c r="BD1322" s="145"/>
      <c r="BE1322" s="145"/>
      <c r="BF1322" s="145"/>
      <c r="BG1322" s="145"/>
      <c r="BH1322" s="145"/>
      <c r="BI1322" s="145"/>
      <c r="BJ1322" s="145"/>
      <c r="BK1322" s="145"/>
    </row>
    <row r="1323" spans="1:63" s="147" customFormat="1" ht="15" x14ac:dyDescent="0.25">
      <c r="A1323" s="59"/>
      <c r="B1323" s="98"/>
      <c r="C1323" s="102" t="s">
        <v>63</v>
      </c>
      <c r="D1323" s="102"/>
      <c r="E1323" s="102"/>
      <c r="F1323" s="102"/>
      <c r="G1323" s="102"/>
      <c r="H1323" s="41"/>
      <c r="I1323" s="42"/>
      <c r="J1323" s="42"/>
      <c r="K1323" s="42"/>
      <c r="L1323" s="45"/>
      <c r="M1323" s="42"/>
      <c r="N1323" s="49">
        <v>6733.7</v>
      </c>
      <c r="O1323" s="42"/>
      <c r="P1323" s="50">
        <v>2090.8149999999996</v>
      </c>
      <c r="Q1323" s="82"/>
      <c r="R1323" s="82"/>
      <c r="S1323" s="82"/>
      <c r="T1323" s="82"/>
      <c r="U1323" s="156"/>
      <c r="V1323" s="82"/>
      <c r="W1323" s="164"/>
      <c r="X1323" s="82"/>
      <c r="Y1323" s="82"/>
      <c r="Z1323" s="82"/>
      <c r="AA1323" s="82"/>
      <c r="AB1323" s="145"/>
      <c r="AC1323" s="145"/>
      <c r="AD1323" s="145"/>
      <c r="AE1323" s="145"/>
      <c r="AF1323" s="145"/>
      <c r="AG1323" s="145"/>
      <c r="AH1323" s="145"/>
      <c r="AI1323" s="145"/>
      <c r="AJ1323" s="145"/>
      <c r="AK1323" s="145"/>
      <c r="AL1323" s="145"/>
      <c r="AM1323" s="145"/>
      <c r="AN1323" s="145"/>
      <c r="AO1323" s="145"/>
      <c r="AP1323" s="145"/>
      <c r="AQ1323" s="145"/>
      <c r="AR1323" s="145"/>
      <c r="AS1323" s="145"/>
      <c r="AT1323" s="145"/>
      <c r="AU1323" s="145"/>
      <c r="AV1323" s="146"/>
      <c r="AW1323" s="146"/>
      <c r="AX1323" s="146"/>
      <c r="AY1323" s="146"/>
      <c r="AZ1323" s="145"/>
      <c r="BA1323" s="146"/>
      <c r="BB1323" s="145"/>
      <c r="BC1323" s="145"/>
      <c r="BD1323" s="145"/>
      <c r="BE1323" s="145"/>
      <c r="BF1323" s="145"/>
      <c r="BG1323" s="145"/>
      <c r="BH1323" s="145"/>
      <c r="BI1323" s="145"/>
      <c r="BJ1323" s="145"/>
      <c r="BK1323" s="145"/>
    </row>
    <row r="1324" spans="1:63" s="147" customFormat="1" ht="15" x14ac:dyDescent="0.25">
      <c r="A1324" s="39" t="s">
        <v>851</v>
      </c>
      <c r="B1324" s="97" t="s">
        <v>127</v>
      </c>
      <c r="C1324" s="103" t="s">
        <v>128</v>
      </c>
      <c r="D1324" s="103"/>
      <c r="E1324" s="103"/>
      <c r="F1324" s="103"/>
      <c r="G1324" s="103"/>
      <c r="H1324" s="41" t="s">
        <v>129</v>
      </c>
      <c r="I1324" s="42">
        <v>2.7</v>
      </c>
      <c r="J1324" s="43">
        <v>1</v>
      </c>
      <c r="K1324" s="43">
        <v>2.7</v>
      </c>
      <c r="L1324" s="61">
        <v>94.58</v>
      </c>
      <c r="M1324" s="62">
        <v>1.17</v>
      </c>
      <c r="N1324" s="61">
        <v>1106.5999999999999</v>
      </c>
      <c r="O1324" s="42"/>
      <c r="P1324" s="50">
        <v>3435.9929999999999</v>
      </c>
      <c r="Q1324" s="82"/>
      <c r="R1324" s="82"/>
      <c r="S1324" s="82"/>
      <c r="T1324" s="82"/>
      <c r="U1324" s="156"/>
      <c r="V1324" s="82"/>
      <c r="W1324" s="151"/>
      <c r="X1324" s="82"/>
      <c r="Y1324" s="82"/>
      <c r="Z1324" s="82"/>
      <c r="AA1324" s="82"/>
      <c r="AB1324" s="145"/>
      <c r="AC1324" s="145"/>
      <c r="AD1324" s="145"/>
      <c r="AE1324" s="145"/>
      <c r="AF1324" s="145"/>
      <c r="AG1324" s="145"/>
      <c r="AH1324" s="145"/>
      <c r="AI1324" s="145"/>
      <c r="AJ1324" s="145"/>
      <c r="AK1324" s="145"/>
      <c r="AL1324" s="145"/>
      <c r="AM1324" s="145"/>
      <c r="AN1324" s="145"/>
      <c r="AO1324" s="145"/>
      <c r="AP1324" s="145"/>
      <c r="AQ1324" s="145"/>
      <c r="AR1324" s="145"/>
      <c r="AS1324" s="145"/>
      <c r="AT1324" s="145"/>
      <c r="AU1324" s="145"/>
      <c r="AV1324" s="146"/>
      <c r="AW1324" s="146"/>
      <c r="AX1324" s="146"/>
      <c r="AY1324" s="146"/>
      <c r="AZ1324" s="145"/>
      <c r="BA1324" s="146"/>
      <c r="BB1324" s="145"/>
      <c r="BC1324" s="145"/>
      <c r="BD1324" s="145"/>
      <c r="BE1324" s="145"/>
      <c r="BF1324" s="145"/>
      <c r="BG1324" s="145"/>
      <c r="BH1324" s="145"/>
      <c r="BI1324" s="145"/>
      <c r="BJ1324" s="145"/>
      <c r="BK1324" s="145"/>
    </row>
    <row r="1325" spans="1:63" s="147" customFormat="1" ht="15" x14ac:dyDescent="0.25">
      <c r="A1325" s="59"/>
      <c r="B1325" s="98"/>
      <c r="C1325" s="102" t="s">
        <v>63</v>
      </c>
      <c r="D1325" s="102"/>
      <c r="E1325" s="102"/>
      <c r="F1325" s="102"/>
      <c r="G1325" s="102"/>
      <c r="H1325" s="41"/>
      <c r="I1325" s="42"/>
      <c r="J1325" s="42"/>
      <c r="K1325" s="42"/>
      <c r="L1325" s="45"/>
      <c r="M1325" s="42"/>
      <c r="N1325" s="45"/>
      <c r="O1325" s="42"/>
      <c r="P1325" s="50">
        <v>3435.9929999999999</v>
      </c>
      <c r="Q1325" s="82"/>
      <c r="R1325" s="82"/>
      <c r="S1325" s="82"/>
      <c r="T1325" s="82"/>
      <c r="U1325" s="156"/>
      <c r="V1325" s="82"/>
      <c r="W1325" s="152"/>
      <c r="X1325" s="82"/>
      <c r="Y1325" s="82"/>
      <c r="Z1325" s="82"/>
      <c r="AA1325" s="82"/>
      <c r="AB1325" s="145"/>
      <c r="AC1325" s="145"/>
      <c r="AD1325" s="145"/>
      <c r="AE1325" s="145"/>
      <c r="AF1325" s="145"/>
      <c r="AG1325" s="145"/>
      <c r="AH1325" s="145"/>
      <c r="AI1325" s="145"/>
      <c r="AJ1325" s="145"/>
      <c r="AK1325" s="145"/>
      <c r="AL1325" s="145"/>
      <c r="AM1325" s="145"/>
      <c r="AN1325" s="145"/>
      <c r="AO1325" s="145"/>
      <c r="AP1325" s="145"/>
      <c r="AQ1325" s="145"/>
      <c r="AR1325" s="145"/>
      <c r="AS1325" s="145"/>
      <c r="AT1325" s="145"/>
      <c r="AU1325" s="145"/>
      <c r="AV1325" s="146"/>
      <c r="AW1325" s="146"/>
      <c r="AX1325" s="146"/>
      <c r="AY1325" s="146"/>
      <c r="AZ1325" s="145"/>
      <c r="BA1325" s="146"/>
      <c r="BB1325" s="145"/>
      <c r="BC1325" s="145"/>
      <c r="BD1325" s="145"/>
      <c r="BE1325" s="145"/>
      <c r="BF1325" s="145"/>
      <c r="BG1325" s="145"/>
      <c r="BH1325" s="145"/>
      <c r="BI1325" s="145"/>
      <c r="BJ1325" s="145"/>
      <c r="BK1325" s="145"/>
    </row>
    <row r="1326" spans="1:63" s="147" customFormat="1" ht="15" x14ac:dyDescent="0.25">
      <c r="A1326" s="39" t="s">
        <v>852</v>
      </c>
      <c r="B1326" s="97" t="s">
        <v>131</v>
      </c>
      <c r="C1326" s="103" t="s">
        <v>132</v>
      </c>
      <c r="D1326" s="103"/>
      <c r="E1326" s="103"/>
      <c r="F1326" s="103"/>
      <c r="G1326" s="103"/>
      <c r="H1326" s="41" t="s">
        <v>55</v>
      </c>
      <c r="I1326" s="42">
        <v>0.11600000000000001</v>
      </c>
      <c r="J1326" s="43">
        <v>1</v>
      </c>
      <c r="K1326" s="44">
        <v>0.11600000000000001</v>
      </c>
      <c r="L1326" s="45"/>
      <c r="M1326" s="42"/>
      <c r="N1326" s="45"/>
      <c r="O1326" s="42"/>
      <c r="P1326" s="50"/>
      <c r="Q1326" s="82"/>
      <c r="R1326" s="82"/>
      <c r="S1326" s="82"/>
      <c r="T1326" s="82"/>
      <c r="U1326" s="153"/>
      <c r="V1326" s="82"/>
      <c r="W1326" s="151"/>
      <c r="X1326" s="82"/>
      <c r="Y1326" s="82"/>
      <c r="Z1326" s="82"/>
      <c r="AA1326" s="82"/>
      <c r="AB1326" s="145"/>
      <c r="AC1326" s="145"/>
      <c r="AD1326" s="145"/>
      <c r="AE1326" s="145"/>
      <c r="AF1326" s="145"/>
      <c r="AG1326" s="145"/>
      <c r="AH1326" s="145"/>
      <c r="AI1326" s="145"/>
      <c r="AJ1326" s="145"/>
      <c r="AK1326" s="145"/>
      <c r="AL1326" s="145"/>
      <c r="AM1326" s="145"/>
      <c r="AN1326" s="145"/>
      <c r="AO1326" s="145"/>
      <c r="AP1326" s="145"/>
      <c r="AQ1326" s="145"/>
      <c r="AR1326" s="145"/>
      <c r="AS1326" s="145"/>
      <c r="AT1326" s="145"/>
      <c r="AU1326" s="145"/>
      <c r="AV1326" s="146"/>
      <c r="AW1326" s="146"/>
      <c r="AX1326" s="146"/>
      <c r="AY1326" s="146"/>
      <c r="AZ1326" s="145"/>
      <c r="BA1326" s="146"/>
      <c r="BB1326" s="145"/>
      <c r="BC1326" s="145"/>
      <c r="BD1326" s="145"/>
      <c r="BE1326" s="145"/>
      <c r="BF1326" s="145"/>
      <c r="BG1326" s="145"/>
      <c r="BH1326" s="145"/>
      <c r="BI1326" s="145"/>
      <c r="BJ1326" s="145"/>
      <c r="BK1326" s="145"/>
    </row>
    <row r="1327" spans="1:63" s="147" customFormat="1" ht="15" x14ac:dyDescent="0.25">
      <c r="A1327" s="47"/>
      <c r="B1327" s="48"/>
      <c r="C1327" s="102" t="s">
        <v>56</v>
      </c>
      <c r="D1327" s="102"/>
      <c r="E1327" s="102"/>
      <c r="F1327" s="102"/>
      <c r="G1327" s="102"/>
      <c r="H1327" s="41"/>
      <c r="I1327" s="42"/>
      <c r="J1327" s="42"/>
      <c r="K1327" s="42"/>
      <c r="L1327" s="45"/>
      <c r="M1327" s="42"/>
      <c r="N1327" s="49"/>
      <c r="O1327" s="42"/>
      <c r="P1327" s="50">
        <v>3346.4539999999997</v>
      </c>
      <c r="Q1327" s="157"/>
      <c r="R1327" s="157"/>
      <c r="S1327" s="82"/>
      <c r="T1327" s="82"/>
      <c r="U1327" s="156"/>
      <c r="V1327" s="82"/>
      <c r="W1327" s="166"/>
      <c r="X1327" s="82"/>
      <c r="Y1327" s="82"/>
      <c r="Z1327" s="82"/>
      <c r="AA1327" s="82"/>
      <c r="AB1327" s="145"/>
      <c r="AC1327" s="145"/>
      <c r="AD1327" s="145"/>
      <c r="AE1327" s="145"/>
      <c r="AF1327" s="145"/>
      <c r="AG1327" s="145"/>
      <c r="AH1327" s="145"/>
      <c r="AI1327" s="145"/>
      <c r="AJ1327" s="145"/>
      <c r="AK1327" s="145"/>
      <c r="AL1327" s="145"/>
      <c r="AM1327" s="145"/>
      <c r="AN1327" s="145"/>
      <c r="AO1327" s="145"/>
      <c r="AP1327" s="145"/>
      <c r="AQ1327" s="145"/>
      <c r="AR1327" s="145"/>
      <c r="AS1327" s="145"/>
      <c r="AT1327" s="145"/>
      <c r="AU1327" s="145"/>
      <c r="AV1327" s="146"/>
      <c r="AW1327" s="146"/>
      <c r="AX1327" s="146"/>
      <c r="AY1327" s="146"/>
      <c r="AZ1327" s="145"/>
      <c r="BA1327" s="146"/>
      <c r="BB1327" s="145"/>
      <c r="BC1327" s="145"/>
      <c r="BD1327" s="145"/>
      <c r="BE1327" s="145"/>
      <c r="BF1327" s="145"/>
      <c r="BG1327" s="145"/>
      <c r="BH1327" s="145"/>
      <c r="BI1327" s="145"/>
      <c r="BJ1327" s="145"/>
      <c r="BK1327" s="145"/>
    </row>
    <row r="1328" spans="1:63" s="147" customFormat="1" ht="15" x14ac:dyDescent="0.25">
      <c r="A1328" s="52"/>
      <c r="B1328" s="53"/>
      <c r="C1328" s="104" t="s">
        <v>57</v>
      </c>
      <c r="D1328" s="104"/>
      <c r="E1328" s="104"/>
      <c r="F1328" s="104"/>
      <c r="G1328" s="104"/>
      <c r="H1328" s="54"/>
      <c r="I1328" s="55"/>
      <c r="J1328" s="55"/>
      <c r="K1328" s="55"/>
      <c r="L1328" s="56"/>
      <c r="M1328" s="55"/>
      <c r="N1328" s="56"/>
      <c r="O1328" s="55"/>
      <c r="P1328" s="77">
        <v>2585.7059999999997</v>
      </c>
      <c r="Q1328" s="82"/>
      <c r="R1328" s="82"/>
      <c r="S1328" s="82"/>
      <c r="T1328" s="82"/>
      <c r="U1328" s="163"/>
      <c r="V1328" s="82"/>
      <c r="W1328" s="151"/>
      <c r="X1328" s="82"/>
      <c r="Y1328" s="82"/>
      <c r="Z1328" s="82"/>
      <c r="AA1328" s="82"/>
      <c r="AB1328" s="145"/>
      <c r="AC1328" s="145"/>
      <c r="AD1328" s="145"/>
      <c r="AE1328" s="145"/>
      <c r="AF1328" s="145"/>
      <c r="AG1328" s="145"/>
      <c r="AH1328" s="145"/>
      <c r="AI1328" s="145"/>
      <c r="AJ1328" s="145"/>
      <c r="AK1328" s="145"/>
      <c r="AL1328" s="145"/>
      <c r="AM1328" s="145"/>
      <c r="AN1328" s="145"/>
      <c r="AO1328" s="145"/>
      <c r="AP1328" s="145"/>
      <c r="AQ1328" s="145"/>
      <c r="AR1328" s="145"/>
      <c r="AS1328" s="145"/>
      <c r="AT1328" s="145"/>
      <c r="AU1328" s="145"/>
      <c r="AV1328" s="146"/>
      <c r="AW1328" s="146"/>
      <c r="AX1328" s="146"/>
      <c r="AY1328" s="146"/>
      <c r="AZ1328" s="145"/>
      <c r="BA1328" s="146"/>
      <c r="BB1328" s="145"/>
      <c r="BC1328" s="145"/>
      <c r="BD1328" s="145"/>
      <c r="BE1328" s="145"/>
      <c r="BF1328" s="145"/>
      <c r="BG1328" s="145"/>
      <c r="BH1328" s="145"/>
      <c r="BI1328" s="145"/>
      <c r="BJ1328" s="145"/>
      <c r="BK1328" s="145"/>
    </row>
    <row r="1329" spans="1:63" s="147" customFormat="1" ht="15" x14ac:dyDescent="0.25">
      <c r="A1329" s="52"/>
      <c r="B1329" s="53" t="s">
        <v>58</v>
      </c>
      <c r="C1329" s="104" t="s">
        <v>59</v>
      </c>
      <c r="D1329" s="104"/>
      <c r="E1329" s="104"/>
      <c r="F1329" s="104"/>
      <c r="G1329" s="104"/>
      <c r="H1329" s="54" t="s">
        <v>60</v>
      </c>
      <c r="I1329" s="58">
        <v>100</v>
      </c>
      <c r="J1329" s="55"/>
      <c r="K1329" s="58">
        <v>100</v>
      </c>
      <c r="L1329" s="56"/>
      <c r="M1329" s="55"/>
      <c r="N1329" s="56"/>
      <c r="O1329" s="55"/>
      <c r="P1329" s="77">
        <v>2585.7059999999997</v>
      </c>
      <c r="Q1329" s="82"/>
      <c r="R1329" s="82"/>
      <c r="S1329" s="82"/>
      <c r="T1329" s="82"/>
      <c r="U1329" s="163"/>
      <c r="V1329" s="82"/>
      <c r="W1329" s="160"/>
      <c r="X1329" s="82"/>
      <c r="Y1329" s="82"/>
      <c r="Z1329" s="82"/>
      <c r="AA1329" s="82"/>
      <c r="AB1329" s="145"/>
      <c r="AC1329" s="145"/>
      <c r="AD1329" s="145"/>
      <c r="AE1329" s="145"/>
      <c r="AF1329" s="145"/>
      <c r="AG1329" s="145"/>
      <c r="AH1329" s="145"/>
      <c r="AI1329" s="145"/>
      <c r="AJ1329" s="145"/>
      <c r="AK1329" s="145"/>
      <c r="AL1329" s="145"/>
      <c r="AM1329" s="145"/>
      <c r="AN1329" s="145"/>
      <c r="AO1329" s="145"/>
      <c r="AP1329" s="145"/>
      <c r="AQ1329" s="145"/>
      <c r="AR1329" s="145"/>
      <c r="AS1329" s="145"/>
      <c r="AT1329" s="145"/>
      <c r="AU1329" s="145"/>
      <c r="AV1329" s="146"/>
      <c r="AW1329" s="146"/>
      <c r="AX1329" s="146"/>
      <c r="AY1329" s="146"/>
      <c r="AZ1329" s="145"/>
      <c r="BA1329" s="146"/>
      <c r="BB1329" s="145"/>
      <c r="BC1329" s="145"/>
      <c r="BD1329" s="145"/>
      <c r="BE1329" s="145"/>
      <c r="BF1329" s="145"/>
      <c r="BG1329" s="145"/>
      <c r="BH1329" s="145"/>
      <c r="BI1329" s="145"/>
      <c r="BJ1329" s="145"/>
      <c r="BK1329" s="145"/>
    </row>
    <row r="1330" spans="1:63" s="147" customFormat="1" ht="15" x14ac:dyDescent="0.25">
      <c r="A1330" s="52"/>
      <c r="B1330" s="53" t="s">
        <v>61</v>
      </c>
      <c r="C1330" s="104" t="s">
        <v>62</v>
      </c>
      <c r="D1330" s="104"/>
      <c r="E1330" s="104"/>
      <c r="F1330" s="104"/>
      <c r="G1330" s="104"/>
      <c r="H1330" s="54" t="s">
        <v>60</v>
      </c>
      <c r="I1330" s="58">
        <v>49</v>
      </c>
      <c r="J1330" s="55"/>
      <c r="K1330" s="58">
        <v>49</v>
      </c>
      <c r="L1330" s="56"/>
      <c r="M1330" s="55"/>
      <c r="N1330" s="56"/>
      <c r="O1330" s="55"/>
      <c r="P1330" s="77">
        <v>1267.001</v>
      </c>
      <c r="Q1330" s="82"/>
      <c r="R1330" s="82"/>
      <c r="S1330" s="82"/>
      <c r="T1330" s="82"/>
      <c r="U1330" s="163"/>
      <c r="V1330" s="82"/>
      <c r="W1330" s="164"/>
      <c r="X1330" s="82"/>
      <c r="Y1330" s="82"/>
      <c r="Z1330" s="82"/>
      <c r="AA1330" s="82"/>
      <c r="AB1330" s="145"/>
      <c r="AC1330" s="145"/>
      <c r="AD1330" s="145"/>
      <c r="AE1330" s="145"/>
      <c r="AF1330" s="145"/>
      <c r="AG1330" s="145"/>
      <c r="AH1330" s="145"/>
      <c r="AI1330" s="145"/>
      <c r="AJ1330" s="145"/>
      <c r="AK1330" s="145"/>
      <c r="AL1330" s="145"/>
      <c r="AM1330" s="145"/>
      <c r="AN1330" s="145"/>
      <c r="AO1330" s="145"/>
      <c r="AP1330" s="145"/>
      <c r="AQ1330" s="145"/>
      <c r="AR1330" s="145"/>
      <c r="AS1330" s="145"/>
      <c r="AT1330" s="145"/>
      <c r="AU1330" s="145"/>
      <c r="AV1330" s="146"/>
      <c r="AW1330" s="146"/>
      <c r="AX1330" s="146"/>
      <c r="AY1330" s="146"/>
      <c r="AZ1330" s="145"/>
      <c r="BA1330" s="146"/>
      <c r="BB1330" s="145"/>
      <c r="BC1330" s="145"/>
      <c r="BD1330" s="145"/>
      <c r="BE1330" s="145"/>
      <c r="BF1330" s="145"/>
      <c r="BG1330" s="145"/>
      <c r="BH1330" s="145"/>
      <c r="BI1330" s="145"/>
      <c r="BJ1330" s="145"/>
      <c r="BK1330" s="145"/>
    </row>
    <row r="1331" spans="1:63" s="147" customFormat="1" ht="15" x14ac:dyDescent="0.25">
      <c r="A1331" s="59"/>
      <c r="B1331" s="98"/>
      <c r="C1331" s="102" t="s">
        <v>63</v>
      </c>
      <c r="D1331" s="102"/>
      <c r="E1331" s="102"/>
      <c r="F1331" s="102"/>
      <c r="G1331" s="102"/>
      <c r="H1331" s="41"/>
      <c r="I1331" s="42"/>
      <c r="J1331" s="42"/>
      <c r="K1331" s="42"/>
      <c r="L1331" s="45"/>
      <c r="M1331" s="42"/>
      <c r="N1331" s="49">
        <v>45895.45</v>
      </c>
      <c r="O1331" s="42"/>
      <c r="P1331" s="50">
        <v>7199.1610000000001</v>
      </c>
      <c r="Q1331" s="82"/>
      <c r="R1331" s="82"/>
      <c r="S1331" s="82"/>
      <c r="T1331" s="82"/>
      <c r="U1331" s="156"/>
      <c r="V1331" s="82"/>
      <c r="W1331" s="164"/>
      <c r="X1331" s="82"/>
      <c r="Y1331" s="82"/>
      <c r="Z1331" s="82"/>
      <c r="AA1331" s="82"/>
      <c r="AB1331" s="145"/>
      <c r="AC1331" s="145"/>
      <c r="AD1331" s="145"/>
      <c r="AE1331" s="145"/>
      <c r="AF1331" s="145"/>
      <c r="AG1331" s="145"/>
      <c r="AH1331" s="145"/>
      <c r="AI1331" s="145"/>
      <c r="AJ1331" s="145"/>
      <c r="AK1331" s="145"/>
      <c r="AL1331" s="145"/>
      <c r="AM1331" s="145"/>
      <c r="AN1331" s="145"/>
      <c r="AO1331" s="145"/>
      <c r="AP1331" s="145"/>
      <c r="AQ1331" s="145"/>
      <c r="AR1331" s="145"/>
      <c r="AS1331" s="145"/>
      <c r="AT1331" s="145"/>
      <c r="AU1331" s="145"/>
      <c r="AV1331" s="146"/>
      <c r="AW1331" s="146"/>
      <c r="AX1331" s="146"/>
      <c r="AY1331" s="146"/>
      <c r="AZ1331" s="145"/>
      <c r="BA1331" s="146"/>
      <c r="BB1331" s="145"/>
      <c r="BC1331" s="145"/>
      <c r="BD1331" s="145"/>
      <c r="BE1331" s="145"/>
      <c r="BF1331" s="145"/>
      <c r="BG1331" s="145"/>
      <c r="BH1331" s="145"/>
      <c r="BI1331" s="145"/>
      <c r="BJ1331" s="145"/>
      <c r="BK1331" s="145"/>
    </row>
    <row r="1332" spans="1:63" s="147" customFormat="1" ht="15" x14ac:dyDescent="0.25">
      <c r="A1332" s="39" t="s">
        <v>853</v>
      </c>
      <c r="B1332" s="97" t="s">
        <v>134</v>
      </c>
      <c r="C1332" s="103" t="s">
        <v>135</v>
      </c>
      <c r="D1332" s="103"/>
      <c r="E1332" s="103"/>
      <c r="F1332" s="103"/>
      <c r="G1332" s="103"/>
      <c r="H1332" s="41" t="s">
        <v>71</v>
      </c>
      <c r="I1332" s="42">
        <v>4.0920000000000002E-3</v>
      </c>
      <c r="J1332" s="43">
        <v>1</v>
      </c>
      <c r="K1332" s="68">
        <v>4.0920000000000002E-3</v>
      </c>
      <c r="L1332" s="49">
        <v>52663.94</v>
      </c>
      <c r="M1332" s="62">
        <v>1.81</v>
      </c>
      <c r="N1332" s="49">
        <v>95321.73</v>
      </c>
      <c r="O1332" s="42"/>
      <c r="P1332" s="50">
        <v>448.56899999999996</v>
      </c>
      <c r="Q1332" s="82"/>
      <c r="R1332" s="82"/>
      <c r="S1332" s="82"/>
      <c r="T1332" s="82"/>
      <c r="U1332" s="167"/>
      <c r="V1332" s="82"/>
      <c r="W1332" s="151"/>
      <c r="X1332" s="82"/>
      <c r="Y1332" s="82"/>
      <c r="Z1332" s="82"/>
      <c r="AA1332" s="82"/>
      <c r="AB1332" s="145"/>
      <c r="AC1332" s="145"/>
      <c r="AD1332" s="145"/>
      <c r="AE1332" s="145"/>
      <c r="AF1332" s="145"/>
      <c r="AG1332" s="145"/>
      <c r="AH1332" s="145"/>
      <c r="AI1332" s="145"/>
      <c r="AJ1332" s="145"/>
      <c r="AK1332" s="145"/>
      <c r="AL1332" s="145"/>
      <c r="AM1332" s="145"/>
      <c r="AN1332" s="145"/>
      <c r="AO1332" s="145"/>
      <c r="AP1332" s="145"/>
      <c r="AQ1332" s="145"/>
      <c r="AR1332" s="145"/>
      <c r="AS1332" s="145"/>
      <c r="AT1332" s="145"/>
      <c r="AU1332" s="145"/>
      <c r="AV1332" s="146"/>
      <c r="AW1332" s="146"/>
      <c r="AX1332" s="146"/>
      <c r="AY1332" s="146"/>
      <c r="AZ1332" s="145"/>
      <c r="BA1332" s="146"/>
      <c r="BB1332" s="145"/>
      <c r="BC1332" s="145"/>
      <c r="BD1332" s="145"/>
      <c r="BE1332" s="145"/>
      <c r="BF1332" s="145"/>
      <c r="BG1332" s="145"/>
      <c r="BH1332" s="145"/>
      <c r="BI1332" s="145"/>
      <c r="BJ1332" s="145"/>
      <c r="BK1332" s="145"/>
    </row>
    <row r="1333" spans="1:63" s="147" customFormat="1" ht="15" x14ac:dyDescent="0.25">
      <c r="A1333" s="59"/>
      <c r="B1333" s="98"/>
      <c r="C1333" s="102" t="s">
        <v>63</v>
      </c>
      <c r="D1333" s="102"/>
      <c r="E1333" s="102"/>
      <c r="F1333" s="102"/>
      <c r="G1333" s="102"/>
      <c r="H1333" s="41"/>
      <c r="I1333" s="42"/>
      <c r="J1333" s="42"/>
      <c r="K1333" s="42"/>
      <c r="L1333" s="45"/>
      <c r="M1333" s="42"/>
      <c r="N1333" s="45"/>
      <c r="O1333" s="42"/>
      <c r="P1333" s="50">
        <v>448.56899999999996</v>
      </c>
      <c r="Q1333" s="82"/>
      <c r="R1333" s="82"/>
      <c r="S1333" s="82"/>
      <c r="T1333" s="82"/>
      <c r="U1333" s="167"/>
      <c r="V1333" s="82"/>
      <c r="W1333" s="176"/>
      <c r="X1333" s="82"/>
      <c r="Y1333" s="82"/>
      <c r="Z1333" s="82"/>
      <c r="AA1333" s="82"/>
      <c r="AB1333" s="145"/>
      <c r="AC1333" s="145"/>
      <c r="AD1333" s="145"/>
      <c r="AE1333" s="145"/>
      <c r="AF1333" s="145"/>
      <c r="AG1333" s="145"/>
      <c r="AH1333" s="145"/>
      <c r="AI1333" s="145"/>
      <c r="AJ1333" s="145"/>
      <c r="AK1333" s="145"/>
      <c r="AL1333" s="145"/>
      <c r="AM1333" s="145"/>
      <c r="AN1333" s="145"/>
      <c r="AO1333" s="145"/>
      <c r="AP1333" s="145"/>
      <c r="AQ1333" s="145"/>
      <c r="AR1333" s="145"/>
      <c r="AS1333" s="145"/>
      <c r="AT1333" s="145"/>
      <c r="AU1333" s="145"/>
      <c r="AV1333" s="146"/>
      <c r="AW1333" s="146"/>
      <c r="AX1333" s="146"/>
      <c r="AY1333" s="146"/>
      <c r="AZ1333" s="145"/>
      <c r="BA1333" s="146"/>
      <c r="BB1333" s="145"/>
      <c r="BC1333" s="145"/>
      <c r="BD1333" s="145"/>
      <c r="BE1333" s="145"/>
      <c r="BF1333" s="145"/>
      <c r="BG1333" s="145"/>
      <c r="BH1333" s="145"/>
      <c r="BI1333" s="145"/>
      <c r="BJ1333" s="145"/>
      <c r="BK1333" s="145"/>
    </row>
    <row r="1334" spans="1:63" s="147" customFormat="1" ht="15" x14ac:dyDescent="0.25">
      <c r="A1334" s="39" t="s">
        <v>854</v>
      </c>
      <c r="B1334" s="97" t="s">
        <v>137</v>
      </c>
      <c r="C1334" s="103" t="s">
        <v>138</v>
      </c>
      <c r="D1334" s="103"/>
      <c r="E1334" s="103"/>
      <c r="F1334" s="103"/>
      <c r="G1334" s="103"/>
      <c r="H1334" s="41" t="s">
        <v>67</v>
      </c>
      <c r="I1334" s="42">
        <v>2.7280000000000002</v>
      </c>
      <c r="J1334" s="43">
        <v>1</v>
      </c>
      <c r="K1334" s="66">
        <v>2.7280000000000002</v>
      </c>
      <c r="L1334" s="61">
        <v>144.12</v>
      </c>
      <c r="M1334" s="67">
        <v>1.2</v>
      </c>
      <c r="N1334" s="61">
        <v>172.94</v>
      </c>
      <c r="O1334" s="42"/>
      <c r="P1334" s="50">
        <v>542.54699999999991</v>
      </c>
      <c r="Q1334" s="82"/>
      <c r="R1334" s="82"/>
      <c r="S1334" s="82"/>
      <c r="T1334" s="82"/>
      <c r="U1334" s="167"/>
      <c r="V1334" s="82"/>
      <c r="W1334" s="151"/>
      <c r="X1334" s="82"/>
      <c r="Y1334" s="82"/>
      <c r="Z1334" s="82"/>
      <c r="AA1334" s="82"/>
      <c r="AB1334" s="145"/>
      <c r="AC1334" s="145"/>
      <c r="AD1334" s="145"/>
      <c r="AE1334" s="145"/>
      <c r="AF1334" s="145"/>
      <c r="AG1334" s="145"/>
      <c r="AH1334" s="145"/>
      <c r="AI1334" s="145"/>
      <c r="AJ1334" s="145"/>
      <c r="AK1334" s="145"/>
      <c r="AL1334" s="145"/>
      <c r="AM1334" s="145"/>
      <c r="AN1334" s="145"/>
      <c r="AO1334" s="145"/>
      <c r="AP1334" s="145"/>
      <c r="AQ1334" s="145"/>
      <c r="AR1334" s="145"/>
      <c r="AS1334" s="145"/>
      <c r="AT1334" s="145"/>
      <c r="AU1334" s="145"/>
      <c r="AV1334" s="146"/>
      <c r="AW1334" s="146"/>
      <c r="AX1334" s="146"/>
      <c r="AY1334" s="146"/>
      <c r="AZ1334" s="145"/>
      <c r="BA1334" s="146"/>
      <c r="BB1334" s="145"/>
      <c r="BC1334" s="145"/>
      <c r="BD1334" s="145"/>
      <c r="BE1334" s="145"/>
      <c r="BF1334" s="145"/>
      <c r="BG1334" s="145"/>
      <c r="BH1334" s="145"/>
      <c r="BI1334" s="145"/>
      <c r="BJ1334" s="145"/>
      <c r="BK1334" s="145"/>
    </row>
    <row r="1335" spans="1:63" s="147" customFormat="1" ht="15" x14ac:dyDescent="0.25">
      <c r="A1335" s="59"/>
      <c r="B1335" s="98"/>
      <c r="C1335" s="102" t="s">
        <v>63</v>
      </c>
      <c r="D1335" s="102"/>
      <c r="E1335" s="102"/>
      <c r="F1335" s="102"/>
      <c r="G1335" s="102"/>
      <c r="H1335" s="41"/>
      <c r="I1335" s="42"/>
      <c r="J1335" s="42"/>
      <c r="K1335" s="42"/>
      <c r="L1335" s="45"/>
      <c r="M1335" s="42"/>
      <c r="N1335" s="45"/>
      <c r="O1335" s="42"/>
      <c r="P1335" s="50">
        <v>542.54699999999991</v>
      </c>
      <c r="Q1335" s="82"/>
      <c r="R1335" s="82"/>
      <c r="S1335" s="82"/>
      <c r="T1335" s="82"/>
      <c r="U1335" s="167"/>
      <c r="V1335" s="82"/>
      <c r="W1335" s="171"/>
      <c r="X1335" s="82"/>
      <c r="Y1335" s="82"/>
      <c r="Z1335" s="82"/>
      <c r="AA1335" s="82"/>
      <c r="AB1335" s="145"/>
      <c r="AC1335" s="145"/>
      <c r="AD1335" s="145"/>
      <c r="AE1335" s="145"/>
      <c r="AF1335" s="145"/>
      <c r="AG1335" s="145"/>
      <c r="AH1335" s="145"/>
      <c r="AI1335" s="145"/>
      <c r="AJ1335" s="145"/>
      <c r="AK1335" s="145"/>
      <c r="AL1335" s="145"/>
      <c r="AM1335" s="145"/>
      <c r="AN1335" s="145"/>
      <c r="AO1335" s="145"/>
      <c r="AP1335" s="145"/>
      <c r="AQ1335" s="145"/>
      <c r="AR1335" s="145"/>
      <c r="AS1335" s="145"/>
      <c r="AT1335" s="145"/>
      <c r="AU1335" s="145"/>
      <c r="AV1335" s="146"/>
      <c r="AW1335" s="146"/>
      <c r="AX1335" s="146"/>
      <c r="AY1335" s="146"/>
      <c r="AZ1335" s="145"/>
      <c r="BA1335" s="146"/>
      <c r="BB1335" s="145"/>
      <c r="BC1335" s="145"/>
      <c r="BD1335" s="145"/>
      <c r="BE1335" s="145"/>
      <c r="BF1335" s="145"/>
      <c r="BG1335" s="145"/>
      <c r="BH1335" s="145"/>
      <c r="BI1335" s="145"/>
      <c r="BJ1335" s="145"/>
      <c r="BK1335" s="145"/>
    </row>
    <row r="1336" spans="1:63" s="147" customFormat="1" ht="15" x14ac:dyDescent="0.25">
      <c r="A1336" s="39" t="s">
        <v>855</v>
      </c>
      <c r="B1336" s="97" t="s">
        <v>140</v>
      </c>
      <c r="C1336" s="103" t="s">
        <v>141</v>
      </c>
      <c r="D1336" s="103"/>
      <c r="E1336" s="103"/>
      <c r="F1336" s="103"/>
      <c r="G1336" s="103"/>
      <c r="H1336" s="41" t="s">
        <v>55</v>
      </c>
      <c r="I1336" s="42">
        <v>0.23430000000000001</v>
      </c>
      <c r="J1336" s="43">
        <v>1</v>
      </c>
      <c r="K1336" s="44">
        <v>0.23430000000000001</v>
      </c>
      <c r="L1336" s="140"/>
      <c r="M1336" s="42"/>
      <c r="N1336" s="45"/>
      <c r="O1336" s="42"/>
      <c r="P1336" s="50">
        <v>0</v>
      </c>
      <c r="Q1336" s="82"/>
      <c r="R1336" s="82"/>
      <c r="S1336" s="82"/>
      <c r="T1336" s="82"/>
      <c r="U1336" s="153"/>
      <c r="V1336" s="82"/>
      <c r="W1336" s="151"/>
      <c r="X1336" s="82"/>
      <c r="Y1336" s="82"/>
      <c r="Z1336" s="82"/>
      <c r="AA1336" s="82"/>
      <c r="AB1336" s="145"/>
      <c r="AC1336" s="145"/>
      <c r="AD1336" s="145"/>
      <c r="AE1336" s="145"/>
      <c r="AF1336" s="145"/>
      <c r="AG1336" s="145"/>
      <c r="AH1336" s="145"/>
      <c r="AI1336" s="145"/>
      <c r="AJ1336" s="145"/>
      <c r="AK1336" s="145"/>
      <c r="AL1336" s="145"/>
      <c r="AM1336" s="145"/>
      <c r="AN1336" s="145"/>
      <c r="AO1336" s="145"/>
      <c r="AP1336" s="145"/>
      <c r="AQ1336" s="145"/>
      <c r="AR1336" s="145"/>
      <c r="AS1336" s="145"/>
      <c r="AT1336" s="145"/>
      <c r="AU1336" s="145"/>
      <c r="AV1336" s="146"/>
      <c r="AW1336" s="146"/>
      <c r="AX1336" s="146"/>
      <c r="AY1336" s="146"/>
      <c r="AZ1336" s="145"/>
      <c r="BA1336" s="146"/>
      <c r="BB1336" s="145"/>
      <c r="BC1336" s="145"/>
      <c r="BD1336" s="145"/>
      <c r="BE1336" s="145"/>
      <c r="BF1336" s="145"/>
      <c r="BG1336" s="145"/>
      <c r="BH1336" s="145"/>
      <c r="BI1336" s="145"/>
      <c r="BJ1336" s="145"/>
      <c r="BK1336" s="145"/>
    </row>
    <row r="1337" spans="1:63" s="147" customFormat="1" ht="15" x14ac:dyDescent="0.25">
      <c r="A1337" s="47"/>
      <c r="B1337" s="48"/>
      <c r="C1337" s="102" t="s">
        <v>56</v>
      </c>
      <c r="D1337" s="102"/>
      <c r="E1337" s="102"/>
      <c r="F1337" s="102"/>
      <c r="G1337" s="102"/>
      <c r="H1337" s="41"/>
      <c r="I1337" s="42"/>
      <c r="J1337" s="42"/>
      <c r="K1337" s="42"/>
      <c r="L1337" s="45"/>
      <c r="M1337" s="42"/>
      <c r="N1337" s="49"/>
      <c r="O1337" s="42"/>
      <c r="P1337" s="50">
        <v>39354.218999999997</v>
      </c>
      <c r="Q1337" s="157"/>
      <c r="R1337" s="157"/>
      <c r="S1337" s="82"/>
      <c r="T1337" s="82"/>
      <c r="U1337" s="156"/>
      <c r="V1337" s="82"/>
      <c r="W1337" s="168"/>
      <c r="X1337" s="82"/>
      <c r="Y1337" s="82"/>
      <c r="Z1337" s="82"/>
      <c r="AA1337" s="82"/>
      <c r="AB1337" s="145"/>
      <c r="AC1337" s="145"/>
      <c r="AD1337" s="145"/>
      <c r="AE1337" s="145"/>
      <c r="AF1337" s="145"/>
      <c r="AG1337" s="145"/>
      <c r="AH1337" s="145"/>
      <c r="AI1337" s="145"/>
      <c r="AJ1337" s="145"/>
      <c r="AK1337" s="145"/>
      <c r="AL1337" s="145"/>
      <c r="AM1337" s="145"/>
      <c r="AN1337" s="145"/>
      <c r="AO1337" s="145"/>
      <c r="AP1337" s="145"/>
      <c r="AQ1337" s="145"/>
      <c r="AR1337" s="145"/>
      <c r="AS1337" s="145"/>
      <c r="AT1337" s="145"/>
      <c r="AU1337" s="145"/>
      <c r="AV1337" s="146"/>
      <c r="AW1337" s="146"/>
      <c r="AX1337" s="146"/>
      <c r="AY1337" s="146"/>
      <c r="AZ1337" s="145"/>
      <c r="BA1337" s="146"/>
      <c r="BB1337" s="145"/>
      <c r="BC1337" s="145"/>
      <c r="BD1337" s="145"/>
      <c r="BE1337" s="145"/>
      <c r="BF1337" s="145"/>
      <c r="BG1337" s="145"/>
      <c r="BH1337" s="145"/>
      <c r="BI1337" s="145"/>
      <c r="BJ1337" s="145"/>
      <c r="BK1337" s="145"/>
    </row>
    <row r="1338" spans="1:63" s="147" customFormat="1" ht="15" x14ac:dyDescent="0.25">
      <c r="A1338" s="52"/>
      <c r="B1338" s="53"/>
      <c r="C1338" s="104" t="s">
        <v>57</v>
      </c>
      <c r="D1338" s="104"/>
      <c r="E1338" s="104"/>
      <c r="F1338" s="104"/>
      <c r="G1338" s="104"/>
      <c r="H1338" s="54"/>
      <c r="I1338" s="55"/>
      <c r="J1338" s="55"/>
      <c r="K1338" s="55"/>
      <c r="L1338" s="56"/>
      <c r="M1338" s="55"/>
      <c r="N1338" s="56"/>
      <c r="O1338" s="55"/>
      <c r="P1338" s="77">
        <v>35608.898999999998</v>
      </c>
      <c r="Q1338" s="82"/>
      <c r="R1338" s="82"/>
      <c r="S1338" s="82"/>
      <c r="T1338" s="82"/>
      <c r="U1338" s="163"/>
      <c r="V1338" s="82"/>
      <c r="W1338" s="151"/>
      <c r="X1338" s="82"/>
      <c r="Y1338" s="82"/>
      <c r="Z1338" s="82"/>
      <c r="AA1338" s="82"/>
      <c r="AB1338" s="145"/>
      <c r="AC1338" s="145"/>
      <c r="AD1338" s="145"/>
      <c r="AE1338" s="145"/>
      <c r="AF1338" s="145"/>
      <c r="AG1338" s="145"/>
      <c r="AH1338" s="145"/>
      <c r="AI1338" s="145"/>
      <c r="AJ1338" s="145"/>
      <c r="AK1338" s="145"/>
      <c r="AL1338" s="145"/>
      <c r="AM1338" s="145"/>
      <c r="AN1338" s="145"/>
      <c r="AO1338" s="145"/>
      <c r="AP1338" s="145"/>
      <c r="AQ1338" s="145"/>
      <c r="AR1338" s="145"/>
      <c r="AS1338" s="145"/>
      <c r="AT1338" s="145"/>
      <c r="AU1338" s="145"/>
      <c r="AV1338" s="146"/>
      <c r="AW1338" s="146"/>
      <c r="AX1338" s="146"/>
      <c r="AY1338" s="146"/>
      <c r="AZ1338" s="145"/>
      <c r="BA1338" s="146"/>
      <c r="BB1338" s="145"/>
      <c r="BC1338" s="145"/>
      <c r="BD1338" s="145"/>
      <c r="BE1338" s="145"/>
      <c r="BF1338" s="145"/>
      <c r="BG1338" s="145"/>
      <c r="BH1338" s="145"/>
      <c r="BI1338" s="145"/>
      <c r="BJ1338" s="145"/>
      <c r="BK1338" s="145"/>
    </row>
    <row r="1339" spans="1:63" s="147" customFormat="1" ht="15" x14ac:dyDescent="0.25">
      <c r="A1339" s="52"/>
      <c r="B1339" s="53" t="s">
        <v>58</v>
      </c>
      <c r="C1339" s="104" t="s">
        <v>59</v>
      </c>
      <c r="D1339" s="104"/>
      <c r="E1339" s="104"/>
      <c r="F1339" s="104"/>
      <c r="G1339" s="104"/>
      <c r="H1339" s="54" t="s">
        <v>60</v>
      </c>
      <c r="I1339" s="58">
        <v>100</v>
      </c>
      <c r="J1339" s="55"/>
      <c r="K1339" s="58">
        <v>100</v>
      </c>
      <c r="L1339" s="56"/>
      <c r="M1339" s="55"/>
      <c r="N1339" s="56"/>
      <c r="O1339" s="55"/>
      <c r="P1339" s="77">
        <v>35608.898999999998</v>
      </c>
      <c r="Q1339" s="82"/>
      <c r="R1339" s="82"/>
      <c r="S1339" s="82"/>
      <c r="T1339" s="82"/>
      <c r="U1339" s="163"/>
      <c r="V1339" s="82"/>
      <c r="W1339" s="160"/>
      <c r="X1339" s="82"/>
      <c r="Y1339" s="82"/>
      <c r="Z1339" s="82"/>
      <c r="AA1339" s="82"/>
      <c r="AB1339" s="145"/>
      <c r="AC1339" s="145"/>
      <c r="AD1339" s="145"/>
      <c r="AE1339" s="145"/>
      <c r="AF1339" s="145"/>
      <c r="AG1339" s="145"/>
      <c r="AH1339" s="145"/>
      <c r="AI1339" s="145"/>
      <c r="AJ1339" s="145"/>
      <c r="AK1339" s="145"/>
      <c r="AL1339" s="145"/>
      <c r="AM1339" s="145"/>
      <c r="AN1339" s="145"/>
      <c r="AO1339" s="145"/>
      <c r="AP1339" s="145"/>
      <c r="AQ1339" s="145"/>
      <c r="AR1339" s="145"/>
      <c r="AS1339" s="145"/>
      <c r="AT1339" s="145"/>
      <c r="AU1339" s="145"/>
      <c r="AV1339" s="146"/>
      <c r="AW1339" s="146"/>
      <c r="AX1339" s="146"/>
      <c r="AY1339" s="146"/>
      <c r="AZ1339" s="145"/>
      <c r="BA1339" s="146"/>
      <c r="BB1339" s="145"/>
      <c r="BC1339" s="145"/>
      <c r="BD1339" s="145"/>
      <c r="BE1339" s="145"/>
      <c r="BF1339" s="145"/>
      <c r="BG1339" s="145"/>
      <c r="BH1339" s="145"/>
      <c r="BI1339" s="145"/>
      <c r="BJ1339" s="145"/>
      <c r="BK1339" s="145"/>
    </row>
    <row r="1340" spans="1:63" s="147" customFormat="1" ht="15" x14ac:dyDescent="0.25">
      <c r="A1340" s="52"/>
      <c r="B1340" s="53" t="s">
        <v>61</v>
      </c>
      <c r="C1340" s="104" t="s">
        <v>62</v>
      </c>
      <c r="D1340" s="104"/>
      <c r="E1340" s="104"/>
      <c r="F1340" s="104"/>
      <c r="G1340" s="104"/>
      <c r="H1340" s="54" t="s">
        <v>60</v>
      </c>
      <c r="I1340" s="58">
        <v>49</v>
      </c>
      <c r="J1340" s="55"/>
      <c r="K1340" s="58">
        <v>49</v>
      </c>
      <c r="L1340" s="56"/>
      <c r="M1340" s="55"/>
      <c r="N1340" s="56"/>
      <c r="O1340" s="55"/>
      <c r="P1340" s="77">
        <v>17448.363499999999</v>
      </c>
      <c r="Q1340" s="82"/>
      <c r="R1340" s="82"/>
      <c r="S1340" s="82"/>
      <c r="T1340" s="82"/>
      <c r="U1340" s="163"/>
      <c r="V1340" s="82"/>
      <c r="W1340" s="164"/>
      <c r="X1340" s="82"/>
      <c r="Y1340" s="82"/>
      <c r="Z1340" s="82"/>
      <c r="AA1340" s="82"/>
      <c r="AB1340" s="145"/>
      <c r="AC1340" s="145"/>
      <c r="AD1340" s="145"/>
      <c r="AE1340" s="145"/>
      <c r="AF1340" s="145"/>
      <c r="AG1340" s="145"/>
      <c r="AH1340" s="145"/>
      <c r="AI1340" s="145"/>
      <c r="AJ1340" s="145"/>
      <c r="AK1340" s="145"/>
      <c r="AL1340" s="145"/>
      <c r="AM1340" s="145"/>
      <c r="AN1340" s="145"/>
      <c r="AO1340" s="145"/>
      <c r="AP1340" s="145"/>
      <c r="AQ1340" s="145"/>
      <c r="AR1340" s="145"/>
      <c r="AS1340" s="145"/>
      <c r="AT1340" s="145"/>
      <c r="AU1340" s="145"/>
      <c r="AV1340" s="146"/>
      <c r="AW1340" s="146"/>
      <c r="AX1340" s="146"/>
      <c r="AY1340" s="146"/>
      <c r="AZ1340" s="145"/>
      <c r="BA1340" s="146"/>
      <c r="BB1340" s="145"/>
      <c r="BC1340" s="145"/>
      <c r="BD1340" s="145"/>
      <c r="BE1340" s="145"/>
      <c r="BF1340" s="145"/>
      <c r="BG1340" s="145"/>
      <c r="BH1340" s="145"/>
      <c r="BI1340" s="145"/>
      <c r="BJ1340" s="145"/>
      <c r="BK1340" s="145"/>
    </row>
    <row r="1341" spans="1:63" s="147" customFormat="1" ht="15" x14ac:dyDescent="0.25">
      <c r="A1341" s="59"/>
      <c r="B1341" s="98"/>
      <c r="C1341" s="102" t="s">
        <v>63</v>
      </c>
      <c r="D1341" s="102"/>
      <c r="E1341" s="102"/>
      <c r="F1341" s="102"/>
      <c r="G1341" s="102"/>
      <c r="H1341" s="41"/>
      <c r="I1341" s="42"/>
      <c r="J1341" s="42"/>
      <c r="K1341" s="42"/>
      <c r="L1341" s="45"/>
      <c r="M1341" s="42"/>
      <c r="N1341" s="49">
        <v>206045.67</v>
      </c>
      <c r="O1341" s="42"/>
      <c r="P1341" s="50">
        <v>55517.974654999991</v>
      </c>
      <c r="Q1341" s="82"/>
      <c r="R1341" s="82"/>
      <c r="S1341" s="82"/>
      <c r="T1341" s="82"/>
      <c r="U1341" s="156"/>
      <c r="V1341" s="82"/>
      <c r="W1341" s="164"/>
      <c r="X1341" s="82"/>
      <c r="Y1341" s="82"/>
      <c r="Z1341" s="82"/>
      <c r="AA1341" s="82"/>
      <c r="AB1341" s="145"/>
      <c r="AC1341" s="145"/>
      <c r="AD1341" s="145"/>
      <c r="AE1341" s="145"/>
      <c r="AF1341" s="145"/>
      <c r="AG1341" s="145"/>
      <c r="AH1341" s="145"/>
      <c r="AI1341" s="145"/>
      <c r="AJ1341" s="145"/>
      <c r="AK1341" s="145"/>
      <c r="AL1341" s="145"/>
      <c r="AM1341" s="145"/>
      <c r="AN1341" s="145"/>
      <c r="AO1341" s="145"/>
      <c r="AP1341" s="145"/>
      <c r="AQ1341" s="145"/>
      <c r="AR1341" s="145"/>
      <c r="AS1341" s="145"/>
      <c r="AT1341" s="145"/>
      <c r="AU1341" s="145"/>
      <c r="AV1341" s="146"/>
      <c r="AW1341" s="146"/>
      <c r="AX1341" s="146"/>
      <c r="AY1341" s="146"/>
      <c r="AZ1341" s="145"/>
      <c r="BA1341" s="146"/>
      <c r="BB1341" s="145"/>
      <c r="BC1341" s="145"/>
      <c r="BD1341" s="145"/>
      <c r="BE1341" s="145"/>
      <c r="BF1341" s="145"/>
      <c r="BG1341" s="145"/>
      <c r="BH1341" s="145"/>
      <c r="BI1341" s="145"/>
      <c r="BJ1341" s="145"/>
      <c r="BK1341" s="145"/>
    </row>
    <row r="1342" spans="1:63" s="147" customFormat="1" ht="15" x14ac:dyDescent="0.25">
      <c r="A1342" s="39" t="s">
        <v>856</v>
      </c>
      <c r="B1342" s="97" t="s">
        <v>143</v>
      </c>
      <c r="C1342" s="103" t="s">
        <v>144</v>
      </c>
      <c r="D1342" s="103"/>
      <c r="E1342" s="103"/>
      <c r="F1342" s="103"/>
      <c r="G1342" s="103"/>
      <c r="H1342" s="41" t="s">
        <v>105</v>
      </c>
      <c r="I1342" s="42">
        <v>23.9</v>
      </c>
      <c r="J1342" s="43">
        <v>1</v>
      </c>
      <c r="K1342" s="67">
        <v>23.9</v>
      </c>
      <c r="L1342" s="61">
        <v>498.7</v>
      </c>
      <c r="M1342" s="62">
        <v>1.22</v>
      </c>
      <c r="N1342" s="61">
        <v>608.41</v>
      </c>
      <c r="O1342" s="42"/>
      <c r="P1342" s="50">
        <v>34872.975038412289</v>
      </c>
      <c r="Q1342" s="82"/>
      <c r="R1342" s="82"/>
      <c r="S1342" s="82"/>
      <c r="T1342" s="82"/>
      <c r="U1342" s="156"/>
      <c r="V1342" s="82"/>
      <c r="W1342" s="151"/>
      <c r="X1342" s="82"/>
      <c r="Y1342" s="82"/>
      <c r="Z1342" s="82"/>
      <c r="AA1342" s="82"/>
      <c r="AB1342" s="145"/>
      <c r="AC1342" s="145"/>
      <c r="AD1342" s="145"/>
      <c r="AE1342" s="145"/>
      <c r="AF1342" s="145"/>
      <c r="AG1342" s="145"/>
      <c r="AH1342" s="145"/>
      <c r="AI1342" s="145"/>
      <c r="AJ1342" s="145"/>
      <c r="AK1342" s="145"/>
      <c r="AL1342" s="145"/>
      <c r="AM1342" s="145"/>
      <c r="AN1342" s="145"/>
      <c r="AO1342" s="145"/>
      <c r="AP1342" s="145"/>
      <c r="AQ1342" s="145"/>
      <c r="AR1342" s="145"/>
      <c r="AS1342" s="145"/>
      <c r="AT1342" s="145"/>
      <c r="AU1342" s="145"/>
      <c r="AV1342" s="146"/>
      <c r="AW1342" s="146"/>
      <c r="AX1342" s="146"/>
      <c r="AY1342" s="146"/>
      <c r="AZ1342" s="145"/>
      <c r="BA1342" s="146"/>
      <c r="BB1342" s="145"/>
      <c r="BC1342" s="145"/>
      <c r="BD1342" s="145"/>
      <c r="BE1342" s="145"/>
      <c r="BF1342" s="145"/>
      <c r="BG1342" s="145"/>
      <c r="BH1342" s="145"/>
      <c r="BI1342" s="145"/>
      <c r="BJ1342" s="145"/>
      <c r="BK1342" s="145"/>
    </row>
    <row r="1343" spans="1:63" s="147" customFormat="1" ht="15" x14ac:dyDescent="0.25">
      <c r="A1343" s="59"/>
      <c r="B1343" s="98"/>
      <c r="C1343" s="102" t="s">
        <v>63</v>
      </c>
      <c r="D1343" s="102"/>
      <c r="E1343" s="102"/>
      <c r="F1343" s="102"/>
      <c r="G1343" s="102"/>
      <c r="H1343" s="41"/>
      <c r="I1343" s="42"/>
      <c r="J1343" s="42"/>
      <c r="K1343" s="42"/>
      <c r="L1343" s="45"/>
      <c r="M1343" s="42"/>
      <c r="N1343" s="45"/>
      <c r="O1343" s="42"/>
      <c r="P1343" s="50">
        <v>34872.975038412289</v>
      </c>
      <c r="Q1343" s="82"/>
      <c r="R1343" s="82"/>
      <c r="S1343" s="82"/>
      <c r="T1343" s="82"/>
      <c r="U1343" s="156"/>
      <c r="V1343" s="82"/>
      <c r="W1343" s="152"/>
      <c r="X1343" s="82"/>
      <c r="Y1343" s="82"/>
      <c r="Z1343" s="82"/>
      <c r="AA1343" s="82"/>
      <c r="AB1343" s="145"/>
      <c r="AC1343" s="145"/>
      <c r="AD1343" s="145"/>
      <c r="AE1343" s="145"/>
      <c r="AF1343" s="145"/>
      <c r="AG1343" s="145"/>
      <c r="AH1343" s="145"/>
      <c r="AI1343" s="145"/>
      <c r="AJ1343" s="145"/>
      <c r="AK1343" s="145"/>
      <c r="AL1343" s="145"/>
      <c r="AM1343" s="145"/>
      <c r="AN1343" s="145"/>
      <c r="AO1343" s="145"/>
      <c r="AP1343" s="145"/>
      <c r="AQ1343" s="145"/>
      <c r="AR1343" s="145"/>
      <c r="AS1343" s="145"/>
      <c r="AT1343" s="145"/>
      <c r="AU1343" s="145"/>
      <c r="AV1343" s="146"/>
      <c r="AW1343" s="146"/>
      <c r="AX1343" s="146"/>
      <c r="AY1343" s="146"/>
      <c r="AZ1343" s="145"/>
      <c r="BA1343" s="146"/>
      <c r="BB1343" s="145"/>
      <c r="BC1343" s="145"/>
      <c r="BD1343" s="145"/>
      <c r="BE1343" s="145"/>
      <c r="BF1343" s="145"/>
      <c r="BG1343" s="145"/>
      <c r="BH1343" s="145"/>
      <c r="BI1343" s="145"/>
      <c r="BJ1343" s="145"/>
      <c r="BK1343" s="145"/>
    </row>
    <row r="1344" spans="1:63" s="147" customFormat="1" ht="15" x14ac:dyDescent="0.25">
      <c r="A1344" s="107" t="s">
        <v>145</v>
      </c>
      <c r="B1344" s="108"/>
      <c r="C1344" s="108"/>
      <c r="D1344" s="108"/>
      <c r="E1344" s="108"/>
      <c r="F1344" s="108"/>
      <c r="G1344" s="108"/>
      <c r="H1344" s="108"/>
      <c r="I1344" s="108"/>
      <c r="J1344" s="108"/>
      <c r="K1344" s="108"/>
      <c r="L1344" s="108"/>
      <c r="M1344" s="108"/>
      <c r="N1344" s="108"/>
      <c r="O1344" s="108"/>
      <c r="P1344" s="109"/>
      <c r="Q1344" s="82"/>
      <c r="R1344" s="82"/>
      <c r="S1344" s="82"/>
      <c r="T1344" s="82"/>
      <c r="U1344" s="82"/>
      <c r="V1344" s="82"/>
      <c r="W1344" s="82"/>
      <c r="X1344" s="82"/>
      <c r="Y1344" s="82"/>
      <c r="Z1344" s="82"/>
      <c r="AA1344" s="82"/>
      <c r="AB1344" s="145"/>
      <c r="AC1344" s="145"/>
      <c r="AD1344" s="145"/>
      <c r="AE1344" s="145"/>
      <c r="AF1344" s="145"/>
      <c r="AG1344" s="145"/>
      <c r="AH1344" s="145"/>
      <c r="AI1344" s="145"/>
      <c r="AJ1344" s="145"/>
      <c r="AK1344" s="145"/>
      <c r="AL1344" s="145"/>
      <c r="AM1344" s="145"/>
      <c r="AN1344" s="145"/>
      <c r="AO1344" s="145"/>
      <c r="AP1344" s="145"/>
      <c r="AQ1344" s="145"/>
      <c r="AR1344" s="145"/>
      <c r="AS1344" s="145"/>
      <c r="AT1344" s="145"/>
      <c r="AU1344" s="145"/>
      <c r="AV1344" s="146"/>
      <c r="AW1344" s="146"/>
      <c r="AX1344" s="146"/>
      <c r="AY1344" s="146"/>
      <c r="AZ1344" s="145"/>
      <c r="BA1344" s="146"/>
      <c r="BB1344" s="145"/>
      <c r="BC1344" s="145"/>
      <c r="BD1344" s="145"/>
      <c r="BE1344" s="145"/>
      <c r="BF1344" s="145"/>
      <c r="BG1344" s="145"/>
      <c r="BH1344" s="145"/>
      <c r="BI1344" s="145"/>
      <c r="BJ1344" s="145"/>
      <c r="BK1344" s="145"/>
    </row>
    <row r="1345" spans="1:63" s="147" customFormat="1" ht="15" x14ac:dyDescent="0.25">
      <c r="A1345" s="39" t="s">
        <v>857</v>
      </c>
      <c r="B1345" s="97" t="s">
        <v>147</v>
      </c>
      <c r="C1345" s="103" t="s">
        <v>148</v>
      </c>
      <c r="D1345" s="103"/>
      <c r="E1345" s="103"/>
      <c r="F1345" s="103"/>
      <c r="G1345" s="103"/>
      <c r="H1345" s="41" t="s">
        <v>55</v>
      </c>
      <c r="I1345" s="42">
        <v>1.6500000000000001E-2</v>
      </c>
      <c r="J1345" s="43">
        <v>1</v>
      </c>
      <c r="K1345" s="69">
        <v>1.6500000000000001E-2</v>
      </c>
      <c r="L1345" s="45"/>
      <c r="M1345" s="42"/>
      <c r="N1345" s="45"/>
      <c r="O1345" s="42"/>
      <c r="P1345" s="46"/>
      <c r="Q1345" s="82"/>
      <c r="R1345" s="82"/>
      <c r="S1345" s="82"/>
      <c r="T1345" s="82"/>
      <c r="U1345" s="82"/>
      <c r="V1345" s="82"/>
      <c r="W1345" s="178"/>
      <c r="X1345" s="82"/>
      <c r="Y1345" s="82"/>
      <c r="Z1345" s="82"/>
      <c r="AA1345" s="82"/>
      <c r="AB1345" s="145"/>
      <c r="AC1345" s="145"/>
      <c r="AD1345" s="145"/>
      <c r="AE1345" s="145"/>
      <c r="AF1345" s="145"/>
      <c r="AG1345" s="145"/>
      <c r="AH1345" s="145"/>
      <c r="AI1345" s="145"/>
      <c r="AJ1345" s="145"/>
      <c r="AK1345" s="145"/>
      <c r="AL1345" s="145"/>
      <c r="AM1345" s="145"/>
      <c r="AN1345" s="145"/>
      <c r="AO1345" s="145"/>
      <c r="AP1345" s="145"/>
      <c r="AQ1345" s="145"/>
      <c r="AR1345" s="145"/>
      <c r="AS1345" s="145"/>
      <c r="AT1345" s="145"/>
      <c r="AU1345" s="145"/>
      <c r="AV1345" s="146"/>
      <c r="AW1345" s="146"/>
      <c r="AX1345" s="146"/>
      <c r="AY1345" s="146"/>
      <c r="AZ1345" s="145"/>
      <c r="BA1345" s="146"/>
      <c r="BB1345" s="145"/>
      <c r="BC1345" s="145"/>
      <c r="BD1345" s="145"/>
      <c r="BE1345" s="145"/>
      <c r="BF1345" s="145"/>
      <c r="BG1345" s="145"/>
      <c r="BH1345" s="145"/>
      <c r="BI1345" s="145"/>
      <c r="BJ1345" s="145"/>
      <c r="BK1345" s="145"/>
    </row>
    <row r="1346" spans="1:63" s="147" customFormat="1" ht="15" x14ac:dyDescent="0.25">
      <c r="A1346" s="47"/>
      <c r="B1346" s="48"/>
      <c r="C1346" s="102" t="s">
        <v>56</v>
      </c>
      <c r="D1346" s="102"/>
      <c r="E1346" s="102"/>
      <c r="F1346" s="102"/>
      <c r="G1346" s="102"/>
      <c r="H1346" s="41"/>
      <c r="I1346" s="42"/>
      <c r="J1346" s="42"/>
      <c r="K1346" s="42"/>
      <c r="L1346" s="45"/>
      <c r="M1346" s="42"/>
      <c r="N1346" s="49"/>
      <c r="O1346" s="42"/>
      <c r="P1346" s="50">
        <v>1189.0539999999999</v>
      </c>
      <c r="Q1346" s="157"/>
      <c r="R1346" s="157"/>
      <c r="S1346" s="82"/>
      <c r="T1346" s="82"/>
      <c r="U1346" s="156"/>
      <c r="V1346" s="82"/>
      <c r="W1346" s="151"/>
      <c r="X1346" s="82"/>
      <c r="Y1346" s="82"/>
      <c r="Z1346" s="82"/>
      <c r="AA1346" s="82"/>
      <c r="AB1346" s="145"/>
      <c r="AC1346" s="145"/>
      <c r="AD1346" s="145"/>
      <c r="AE1346" s="145"/>
      <c r="AF1346" s="145"/>
      <c r="AG1346" s="145"/>
      <c r="AH1346" s="145"/>
      <c r="AI1346" s="145"/>
      <c r="AJ1346" s="145"/>
      <c r="AK1346" s="145"/>
      <c r="AL1346" s="145"/>
      <c r="AM1346" s="145"/>
      <c r="AN1346" s="145"/>
      <c r="AO1346" s="145"/>
      <c r="AP1346" s="145"/>
      <c r="AQ1346" s="145"/>
      <c r="AR1346" s="145"/>
      <c r="AS1346" s="145"/>
      <c r="AT1346" s="145"/>
      <c r="AU1346" s="145"/>
      <c r="AV1346" s="146"/>
      <c r="AW1346" s="146"/>
      <c r="AX1346" s="146"/>
      <c r="AY1346" s="146"/>
      <c r="AZ1346" s="145"/>
      <c r="BA1346" s="146"/>
      <c r="BB1346" s="145"/>
      <c r="BC1346" s="145"/>
      <c r="BD1346" s="145"/>
      <c r="BE1346" s="145"/>
      <c r="BF1346" s="145"/>
      <c r="BG1346" s="145"/>
      <c r="BH1346" s="145"/>
      <c r="BI1346" s="145"/>
      <c r="BJ1346" s="145"/>
      <c r="BK1346" s="145"/>
    </row>
    <row r="1347" spans="1:63" s="147" customFormat="1" ht="15" x14ac:dyDescent="0.25">
      <c r="A1347" s="52"/>
      <c r="B1347" s="53"/>
      <c r="C1347" s="104" t="s">
        <v>57</v>
      </c>
      <c r="D1347" s="104"/>
      <c r="E1347" s="104"/>
      <c r="F1347" s="104"/>
      <c r="G1347" s="104"/>
      <c r="H1347" s="54"/>
      <c r="I1347" s="55"/>
      <c r="J1347" s="55"/>
      <c r="K1347" s="55"/>
      <c r="L1347" s="56"/>
      <c r="M1347" s="55"/>
      <c r="N1347" s="56"/>
      <c r="O1347" s="55"/>
      <c r="P1347" s="77">
        <v>1176.5994999999998</v>
      </c>
      <c r="Q1347" s="82"/>
      <c r="R1347" s="82"/>
      <c r="S1347" s="82"/>
      <c r="T1347" s="82"/>
      <c r="U1347" s="163"/>
      <c r="V1347" s="82"/>
      <c r="W1347" s="160"/>
      <c r="X1347" s="82"/>
      <c r="Y1347" s="82"/>
      <c r="Z1347" s="82"/>
      <c r="AA1347" s="82"/>
      <c r="AB1347" s="145"/>
      <c r="AC1347" s="145"/>
      <c r="AD1347" s="145"/>
      <c r="AE1347" s="145"/>
      <c r="AF1347" s="145"/>
      <c r="AG1347" s="145"/>
      <c r="AH1347" s="145"/>
      <c r="AI1347" s="145"/>
      <c r="AJ1347" s="145"/>
      <c r="AK1347" s="145"/>
      <c r="AL1347" s="145"/>
      <c r="AM1347" s="145"/>
      <c r="AN1347" s="145"/>
      <c r="AO1347" s="145"/>
      <c r="AP1347" s="145"/>
      <c r="AQ1347" s="145"/>
      <c r="AR1347" s="145"/>
      <c r="AS1347" s="145"/>
      <c r="AT1347" s="145"/>
      <c r="AU1347" s="145"/>
      <c r="AV1347" s="146"/>
      <c r="AW1347" s="146"/>
      <c r="AX1347" s="146"/>
      <c r="AY1347" s="146"/>
      <c r="AZ1347" s="145"/>
      <c r="BA1347" s="146"/>
      <c r="BB1347" s="145"/>
      <c r="BC1347" s="145"/>
      <c r="BD1347" s="145"/>
      <c r="BE1347" s="145"/>
      <c r="BF1347" s="145"/>
      <c r="BG1347" s="145"/>
      <c r="BH1347" s="145"/>
      <c r="BI1347" s="145"/>
      <c r="BJ1347" s="145"/>
      <c r="BK1347" s="145"/>
    </row>
    <row r="1348" spans="1:63" s="147" customFormat="1" ht="15" x14ac:dyDescent="0.25">
      <c r="A1348" s="52"/>
      <c r="B1348" s="53" t="s">
        <v>149</v>
      </c>
      <c r="C1348" s="104" t="s">
        <v>150</v>
      </c>
      <c r="D1348" s="104"/>
      <c r="E1348" s="104"/>
      <c r="F1348" s="104"/>
      <c r="G1348" s="104"/>
      <c r="H1348" s="54" t="s">
        <v>60</v>
      </c>
      <c r="I1348" s="58">
        <v>91</v>
      </c>
      <c r="J1348" s="55"/>
      <c r="K1348" s="58">
        <v>91</v>
      </c>
      <c r="L1348" s="56"/>
      <c r="M1348" s="55"/>
      <c r="N1348" s="56"/>
      <c r="O1348" s="55"/>
      <c r="P1348" s="77">
        <v>1070.7074999999998</v>
      </c>
      <c r="Q1348" s="82"/>
      <c r="R1348" s="82"/>
      <c r="S1348" s="82"/>
      <c r="T1348" s="82"/>
      <c r="U1348" s="170"/>
      <c r="V1348" s="82"/>
      <c r="W1348" s="164"/>
      <c r="X1348" s="82"/>
      <c r="Y1348" s="82"/>
      <c r="Z1348" s="82"/>
      <c r="AA1348" s="82"/>
      <c r="AB1348" s="145"/>
      <c r="AC1348" s="145"/>
      <c r="AD1348" s="145"/>
      <c r="AE1348" s="145"/>
      <c r="AF1348" s="145"/>
      <c r="AG1348" s="145"/>
      <c r="AH1348" s="145"/>
      <c r="AI1348" s="145"/>
      <c r="AJ1348" s="145"/>
      <c r="AK1348" s="145"/>
      <c r="AL1348" s="145"/>
      <c r="AM1348" s="145"/>
      <c r="AN1348" s="145"/>
      <c r="AO1348" s="145"/>
      <c r="AP1348" s="145"/>
      <c r="AQ1348" s="145"/>
      <c r="AR1348" s="145"/>
      <c r="AS1348" s="145"/>
      <c r="AT1348" s="145"/>
      <c r="AU1348" s="145"/>
      <c r="AV1348" s="146"/>
      <c r="AW1348" s="146"/>
      <c r="AX1348" s="146"/>
      <c r="AY1348" s="146"/>
      <c r="AZ1348" s="145"/>
      <c r="BA1348" s="146"/>
      <c r="BB1348" s="145"/>
      <c r="BC1348" s="145"/>
      <c r="BD1348" s="145"/>
      <c r="BE1348" s="145"/>
      <c r="BF1348" s="145"/>
      <c r="BG1348" s="145"/>
      <c r="BH1348" s="145"/>
      <c r="BI1348" s="145"/>
      <c r="BJ1348" s="145"/>
      <c r="BK1348" s="145"/>
    </row>
    <row r="1349" spans="1:63" s="147" customFormat="1" ht="15" x14ac:dyDescent="0.25">
      <c r="A1349" s="52"/>
      <c r="B1349" s="53" t="s">
        <v>151</v>
      </c>
      <c r="C1349" s="104" t="s">
        <v>152</v>
      </c>
      <c r="D1349" s="104"/>
      <c r="E1349" s="104"/>
      <c r="F1349" s="104"/>
      <c r="G1349" s="104"/>
      <c r="H1349" s="54" t="s">
        <v>60</v>
      </c>
      <c r="I1349" s="58">
        <v>52</v>
      </c>
      <c r="J1349" s="55"/>
      <c r="K1349" s="58">
        <v>52</v>
      </c>
      <c r="L1349" s="56"/>
      <c r="M1349" s="55"/>
      <c r="N1349" s="56"/>
      <c r="O1349" s="55"/>
      <c r="P1349" s="77">
        <v>611.83449999999993</v>
      </c>
      <c r="Q1349" s="82"/>
      <c r="R1349" s="82"/>
      <c r="S1349" s="82"/>
      <c r="T1349" s="82"/>
      <c r="U1349" s="170"/>
      <c r="V1349" s="82"/>
      <c r="W1349" s="164"/>
      <c r="X1349" s="82"/>
      <c r="Y1349" s="82"/>
      <c r="Z1349" s="82"/>
      <c r="AA1349" s="82"/>
      <c r="AB1349" s="145"/>
      <c r="AC1349" s="145"/>
      <c r="AD1349" s="145"/>
      <c r="AE1349" s="145"/>
      <c r="AF1349" s="145"/>
      <c r="AG1349" s="145"/>
      <c r="AH1349" s="145"/>
      <c r="AI1349" s="145"/>
      <c r="AJ1349" s="145"/>
      <c r="AK1349" s="145"/>
      <c r="AL1349" s="145"/>
      <c r="AM1349" s="145"/>
      <c r="AN1349" s="145"/>
      <c r="AO1349" s="145"/>
      <c r="AP1349" s="145"/>
      <c r="AQ1349" s="145"/>
      <c r="AR1349" s="145"/>
      <c r="AS1349" s="145"/>
      <c r="AT1349" s="145"/>
      <c r="AU1349" s="145"/>
      <c r="AV1349" s="146"/>
      <c r="AW1349" s="146"/>
      <c r="AX1349" s="146"/>
      <c r="AY1349" s="146"/>
      <c r="AZ1349" s="145"/>
      <c r="BA1349" s="146"/>
      <c r="BB1349" s="145"/>
      <c r="BC1349" s="145"/>
      <c r="BD1349" s="145"/>
      <c r="BE1349" s="145"/>
      <c r="BF1349" s="145"/>
      <c r="BG1349" s="145"/>
      <c r="BH1349" s="145"/>
      <c r="BI1349" s="145"/>
      <c r="BJ1349" s="145"/>
      <c r="BK1349" s="145"/>
    </row>
    <row r="1350" spans="1:63" s="147" customFormat="1" ht="15" x14ac:dyDescent="0.25">
      <c r="A1350" s="59"/>
      <c r="B1350" s="98"/>
      <c r="C1350" s="102" t="s">
        <v>63</v>
      </c>
      <c r="D1350" s="102"/>
      <c r="E1350" s="102"/>
      <c r="F1350" s="102"/>
      <c r="G1350" s="102"/>
      <c r="H1350" s="41"/>
      <c r="I1350" s="42"/>
      <c r="J1350" s="42"/>
      <c r="K1350" s="42"/>
      <c r="L1350" s="45"/>
      <c r="M1350" s="42"/>
      <c r="N1350" s="49">
        <v>84588.08</v>
      </c>
      <c r="O1350" s="42"/>
      <c r="P1350" s="50">
        <v>2871.5959999999995</v>
      </c>
      <c r="Q1350" s="82"/>
      <c r="R1350" s="82"/>
      <c r="S1350" s="82"/>
      <c r="T1350" s="82"/>
      <c r="U1350" s="156"/>
      <c r="V1350" s="82"/>
      <c r="W1350" s="151"/>
      <c r="X1350" s="82"/>
      <c r="Y1350" s="82"/>
      <c r="Z1350" s="82"/>
      <c r="AA1350" s="82"/>
      <c r="AB1350" s="145"/>
      <c r="AC1350" s="145"/>
      <c r="AD1350" s="145"/>
      <c r="AE1350" s="145"/>
      <c r="AF1350" s="145"/>
      <c r="AG1350" s="145"/>
      <c r="AH1350" s="145"/>
      <c r="AI1350" s="145"/>
      <c r="AJ1350" s="145"/>
      <c r="AK1350" s="145"/>
      <c r="AL1350" s="145"/>
      <c r="AM1350" s="145"/>
      <c r="AN1350" s="145"/>
      <c r="AO1350" s="145"/>
      <c r="AP1350" s="145"/>
      <c r="AQ1350" s="145"/>
      <c r="AR1350" s="145"/>
      <c r="AS1350" s="145"/>
      <c r="AT1350" s="145"/>
      <c r="AU1350" s="145"/>
      <c r="AV1350" s="146"/>
      <c r="AW1350" s="146"/>
      <c r="AX1350" s="146"/>
      <c r="AY1350" s="146"/>
      <c r="AZ1350" s="145"/>
      <c r="BA1350" s="146"/>
      <c r="BB1350" s="145"/>
      <c r="BC1350" s="145"/>
      <c r="BD1350" s="145"/>
      <c r="BE1350" s="145"/>
      <c r="BF1350" s="145"/>
      <c r="BG1350" s="145"/>
      <c r="BH1350" s="145"/>
      <c r="BI1350" s="145"/>
      <c r="BJ1350" s="145"/>
      <c r="BK1350" s="145"/>
    </row>
    <row r="1351" spans="1:63" s="147" customFormat="1" ht="15" x14ac:dyDescent="0.25">
      <c r="A1351" s="39" t="s">
        <v>858</v>
      </c>
      <c r="B1351" s="97" t="s">
        <v>154</v>
      </c>
      <c r="C1351" s="103" t="s">
        <v>155</v>
      </c>
      <c r="D1351" s="103"/>
      <c r="E1351" s="103"/>
      <c r="F1351" s="103"/>
      <c r="G1351" s="103"/>
      <c r="H1351" s="41" t="s">
        <v>55</v>
      </c>
      <c r="I1351" s="42">
        <v>1.6500000000000001E-2</v>
      </c>
      <c r="J1351" s="43">
        <v>1</v>
      </c>
      <c r="K1351" s="69">
        <v>1.6500000000000001E-2</v>
      </c>
      <c r="L1351" s="45"/>
      <c r="M1351" s="42"/>
      <c r="N1351" s="45"/>
      <c r="O1351" s="42"/>
      <c r="P1351" s="50"/>
      <c r="Q1351" s="82"/>
      <c r="R1351" s="82"/>
      <c r="S1351" s="82"/>
      <c r="T1351" s="82"/>
      <c r="U1351" s="153"/>
      <c r="V1351" s="82"/>
      <c r="W1351" s="178"/>
      <c r="X1351" s="82"/>
      <c r="Y1351" s="82"/>
      <c r="Z1351" s="82"/>
      <c r="AA1351" s="82"/>
      <c r="AB1351" s="145"/>
      <c r="AC1351" s="145"/>
      <c r="AD1351" s="145"/>
      <c r="AE1351" s="145"/>
      <c r="AF1351" s="145"/>
      <c r="AG1351" s="145"/>
      <c r="AH1351" s="145"/>
      <c r="AI1351" s="145"/>
      <c r="AJ1351" s="145"/>
      <c r="AK1351" s="145"/>
      <c r="AL1351" s="145"/>
      <c r="AM1351" s="145"/>
      <c r="AN1351" s="145"/>
      <c r="AO1351" s="145"/>
      <c r="AP1351" s="145"/>
      <c r="AQ1351" s="145"/>
      <c r="AR1351" s="145"/>
      <c r="AS1351" s="145"/>
      <c r="AT1351" s="145"/>
      <c r="AU1351" s="145"/>
      <c r="AV1351" s="146"/>
      <c r="AW1351" s="146"/>
      <c r="AX1351" s="146"/>
      <c r="AY1351" s="146"/>
      <c r="AZ1351" s="145"/>
      <c r="BA1351" s="146"/>
      <c r="BB1351" s="145"/>
      <c r="BC1351" s="145"/>
      <c r="BD1351" s="145"/>
      <c r="BE1351" s="145"/>
      <c r="BF1351" s="145"/>
      <c r="BG1351" s="145"/>
      <c r="BH1351" s="145"/>
      <c r="BI1351" s="145"/>
      <c r="BJ1351" s="145"/>
      <c r="BK1351" s="145"/>
    </row>
    <row r="1352" spans="1:63" s="147" customFormat="1" ht="15" x14ac:dyDescent="0.25">
      <c r="A1352" s="47"/>
      <c r="B1352" s="48"/>
      <c r="C1352" s="102" t="s">
        <v>56</v>
      </c>
      <c r="D1352" s="102"/>
      <c r="E1352" s="102"/>
      <c r="F1352" s="102"/>
      <c r="G1352" s="102"/>
      <c r="H1352" s="41"/>
      <c r="I1352" s="42"/>
      <c r="J1352" s="42"/>
      <c r="K1352" s="42"/>
      <c r="L1352" s="45"/>
      <c r="M1352" s="42"/>
      <c r="N1352" s="49"/>
      <c r="O1352" s="42"/>
      <c r="P1352" s="50">
        <v>4647.6214999999993</v>
      </c>
      <c r="Q1352" s="157"/>
      <c r="R1352" s="157"/>
      <c r="S1352" s="82"/>
      <c r="T1352" s="82"/>
      <c r="U1352" s="156"/>
      <c r="V1352" s="82"/>
      <c r="W1352" s="151"/>
      <c r="X1352" s="82"/>
      <c r="Y1352" s="82"/>
      <c r="Z1352" s="82"/>
      <c r="AA1352" s="82"/>
      <c r="AB1352" s="145"/>
      <c r="AC1352" s="145"/>
      <c r="AD1352" s="145"/>
      <c r="AE1352" s="145"/>
      <c r="AF1352" s="145"/>
      <c r="AG1352" s="145"/>
      <c r="AH1352" s="145"/>
      <c r="AI1352" s="145"/>
      <c r="AJ1352" s="145"/>
      <c r="AK1352" s="145"/>
      <c r="AL1352" s="145"/>
      <c r="AM1352" s="145"/>
      <c r="AN1352" s="145"/>
      <c r="AO1352" s="145"/>
      <c r="AP1352" s="145"/>
      <c r="AQ1352" s="145"/>
      <c r="AR1352" s="145"/>
      <c r="AS1352" s="145"/>
      <c r="AT1352" s="145"/>
      <c r="AU1352" s="145"/>
      <c r="AV1352" s="146"/>
      <c r="AW1352" s="146"/>
      <c r="AX1352" s="146"/>
      <c r="AY1352" s="146"/>
      <c r="AZ1352" s="145"/>
      <c r="BA1352" s="146"/>
      <c r="BB1352" s="145"/>
      <c r="BC1352" s="145"/>
      <c r="BD1352" s="145"/>
      <c r="BE1352" s="145"/>
      <c r="BF1352" s="145"/>
      <c r="BG1352" s="145"/>
      <c r="BH1352" s="145"/>
      <c r="BI1352" s="145"/>
      <c r="BJ1352" s="145"/>
      <c r="BK1352" s="145"/>
    </row>
    <row r="1353" spans="1:63" s="147" customFormat="1" ht="15" x14ac:dyDescent="0.25">
      <c r="A1353" s="52"/>
      <c r="B1353" s="53"/>
      <c r="C1353" s="104" t="s">
        <v>57</v>
      </c>
      <c r="D1353" s="104"/>
      <c r="E1353" s="104"/>
      <c r="F1353" s="104"/>
      <c r="G1353" s="104"/>
      <c r="H1353" s="54"/>
      <c r="I1353" s="55"/>
      <c r="J1353" s="55"/>
      <c r="K1353" s="55"/>
      <c r="L1353" s="56"/>
      <c r="M1353" s="55"/>
      <c r="N1353" s="56"/>
      <c r="O1353" s="55"/>
      <c r="P1353" s="77">
        <v>2636.3979999999997</v>
      </c>
      <c r="Q1353" s="82"/>
      <c r="R1353" s="82"/>
      <c r="S1353" s="82"/>
      <c r="T1353" s="82"/>
      <c r="U1353" s="163"/>
      <c r="V1353" s="82"/>
      <c r="W1353" s="160"/>
      <c r="X1353" s="82"/>
      <c r="Y1353" s="82"/>
      <c r="Z1353" s="82"/>
      <c r="AA1353" s="82"/>
      <c r="AB1353" s="145"/>
      <c r="AC1353" s="145"/>
      <c r="AD1353" s="145"/>
      <c r="AE1353" s="145"/>
      <c r="AF1353" s="145"/>
      <c r="AG1353" s="145"/>
      <c r="AH1353" s="145"/>
      <c r="AI1353" s="145"/>
      <c r="AJ1353" s="145"/>
      <c r="AK1353" s="145"/>
      <c r="AL1353" s="145"/>
      <c r="AM1353" s="145"/>
      <c r="AN1353" s="145"/>
      <c r="AO1353" s="145"/>
      <c r="AP1353" s="145"/>
      <c r="AQ1353" s="145"/>
      <c r="AR1353" s="145"/>
      <c r="AS1353" s="145"/>
      <c r="AT1353" s="145"/>
      <c r="AU1353" s="145"/>
      <c r="AV1353" s="146"/>
      <c r="AW1353" s="146"/>
      <c r="AX1353" s="146"/>
      <c r="AY1353" s="146"/>
      <c r="AZ1353" s="145"/>
      <c r="BA1353" s="146"/>
      <c r="BB1353" s="145"/>
      <c r="BC1353" s="145"/>
      <c r="BD1353" s="145"/>
      <c r="BE1353" s="145"/>
      <c r="BF1353" s="145"/>
      <c r="BG1353" s="145"/>
      <c r="BH1353" s="145"/>
      <c r="BI1353" s="145"/>
      <c r="BJ1353" s="145"/>
      <c r="BK1353" s="145"/>
    </row>
    <row r="1354" spans="1:63" s="147" customFormat="1" ht="15" x14ac:dyDescent="0.25">
      <c r="A1354" s="52"/>
      <c r="B1354" s="53" t="s">
        <v>98</v>
      </c>
      <c r="C1354" s="104" t="s">
        <v>99</v>
      </c>
      <c r="D1354" s="104"/>
      <c r="E1354" s="104"/>
      <c r="F1354" s="104"/>
      <c r="G1354" s="104"/>
      <c r="H1354" s="54" t="s">
        <v>60</v>
      </c>
      <c r="I1354" s="58">
        <v>108</v>
      </c>
      <c r="J1354" s="55"/>
      <c r="K1354" s="58">
        <v>108</v>
      </c>
      <c r="L1354" s="56"/>
      <c r="M1354" s="55"/>
      <c r="N1354" s="56"/>
      <c r="O1354" s="55"/>
      <c r="P1354" s="77">
        <v>2847.308</v>
      </c>
      <c r="Q1354" s="82"/>
      <c r="R1354" s="82"/>
      <c r="S1354" s="82"/>
      <c r="T1354" s="82"/>
      <c r="U1354" s="163"/>
      <c r="V1354" s="82"/>
      <c r="W1354" s="164"/>
      <c r="X1354" s="82"/>
      <c r="Y1354" s="82"/>
      <c r="Z1354" s="82"/>
      <c r="AA1354" s="82"/>
      <c r="AB1354" s="145"/>
      <c r="AC1354" s="145"/>
      <c r="AD1354" s="145"/>
      <c r="AE1354" s="145"/>
      <c r="AF1354" s="145"/>
      <c r="AG1354" s="145"/>
      <c r="AH1354" s="145"/>
      <c r="AI1354" s="145"/>
      <c r="AJ1354" s="145"/>
      <c r="AK1354" s="145"/>
      <c r="AL1354" s="145"/>
      <c r="AM1354" s="145"/>
      <c r="AN1354" s="145"/>
      <c r="AO1354" s="145"/>
      <c r="AP1354" s="145"/>
      <c r="AQ1354" s="145"/>
      <c r="AR1354" s="145"/>
      <c r="AS1354" s="145"/>
      <c r="AT1354" s="145"/>
      <c r="AU1354" s="145"/>
      <c r="AV1354" s="146"/>
      <c r="AW1354" s="146"/>
      <c r="AX1354" s="146"/>
      <c r="AY1354" s="146"/>
      <c r="AZ1354" s="145"/>
      <c r="BA1354" s="146"/>
      <c r="BB1354" s="145"/>
      <c r="BC1354" s="145"/>
      <c r="BD1354" s="145"/>
      <c r="BE1354" s="145"/>
      <c r="BF1354" s="145"/>
      <c r="BG1354" s="145"/>
      <c r="BH1354" s="145"/>
      <c r="BI1354" s="145"/>
      <c r="BJ1354" s="145"/>
      <c r="BK1354" s="145"/>
    </row>
    <row r="1355" spans="1:63" s="147" customFormat="1" ht="15" x14ac:dyDescent="0.25">
      <c r="A1355" s="52"/>
      <c r="B1355" s="53" t="s">
        <v>100</v>
      </c>
      <c r="C1355" s="104" t="s">
        <v>101</v>
      </c>
      <c r="D1355" s="104"/>
      <c r="E1355" s="104"/>
      <c r="F1355" s="104"/>
      <c r="G1355" s="104"/>
      <c r="H1355" s="54" t="s">
        <v>60</v>
      </c>
      <c r="I1355" s="58">
        <v>55</v>
      </c>
      <c r="J1355" s="55"/>
      <c r="K1355" s="58">
        <v>55</v>
      </c>
      <c r="L1355" s="56"/>
      <c r="M1355" s="55"/>
      <c r="N1355" s="56"/>
      <c r="O1355" s="55"/>
      <c r="P1355" s="77">
        <v>1450.0235</v>
      </c>
      <c r="Q1355" s="82"/>
      <c r="R1355" s="82"/>
      <c r="S1355" s="82"/>
      <c r="T1355" s="82"/>
      <c r="U1355" s="163"/>
      <c r="V1355" s="82"/>
      <c r="W1355" s="164"/>
      <c r="X1355" s="82"/>
      <c r="Y1355" s="82"/>
      <c r="Z1355" s="82"/>
      <c r="AA1355" s="82"/>
      <c r="AB1355" s="145"/>
      <c r="AC1355" s="145"/>
      <c r="AD1355" s="145"/>
      <c r="AE1355" s="145"/>
      <c r="AF1355" s="145"/>
      <c r="AG1355" s="145"/>
      <c r="AH1355" s="145"/>
      <c r="AI1355" s="145"/>
      <c r="AJ1355" s="145"/>
      <c r="AK1355" s="145"/>
      <c r="AL1355" s="145"/>
      <c r="AM1355" s="145"/>
      <c r="AN1355" s="145"/>
      <c r="AO1355" s="145"/>
      <c r="AP1355" s="145"/>
      <c r="AQ1355" s="145"/>
      <c r="AR1355" s="145"/>
      <c r="AS1355" s="145"/>
      <c r="AT1355" s="145"/>
      <c r="AU1355" s="145"/>
      <c r="AV1355" s="146"/>
      <c r="AW1355" s="146"/>
      <c r="AX1355" s="146"/>
      <c r="AY1355" s="146"/>
      <c r="AZ1355" s="145"/>
      <c r="BA1355" s="146"/>
      <c r="BB1355" s="145"/>
      <c r="BC1355" s="145"/>
      <c r="BD1355" s="145"/>
      <c r="BE1355" s="145"/>
      <c r="BF1355" s="145"/>
      <c r="BG1355" s="145"/>
      <c r="BH1355" s="145"/>
      <c r="BI1355" s="145"/>
      <c r="BJ1355" s="145"/>
      <c r="BK1355" s="145"/>
    </row>
    <row r="1356" spans="1:63" s="147" customFormat="1" ht="15" x14ac:dyDescent="0.25">
      <c r="A1356" s="59"/>
      <c r="B1356" s="98"/>
      <c r="C1356" s="102" t="s">
        <v>63</v>
      </c>
      <c r="D1356" s="102"/>
      <c r="E1356" s="102"/>
      <c r="F1356" s="102"/>
      <c r="G1356" s="102"/>
      <c r="H1356" s="41"/>
      <c r="I1356" s="42"/>
      <c r="J1356" s="42"/>
      <c r="K1356" s="42"/>
      <c r="L1356" s="45"/>
      <c r="M1356" s="42"/>
      <c r="N1356" s="49">
        <v>263489.84000000003</v>
      </c>
      <c r="O1356" s="42"/>
      <c r="P1356" s="50">
        <v>8944.9529999999995</v>
      </c>
      <c r="Q1356" s="82"/>
      <c r="R1356" s="82"/>
      <c r="S1356" s="82"/>
      <c r="T1356" s="82"/>
      <c r="U1356" s="156"/>
      <c r="V1356" s="82"/>
      <c r="W1356" s="151"/>
      <c r="X1356" s="82"/>
      <c r="Y1356" s="82"/>
      <c r="Z1356" s="82"/>
      <c r="AA1356" s="82"/>
      <c r="AB1356" s="145"/>
      <c r="AC1356" s="145"/>
      <c r="AD1356" s="145"/>
      <c r="AE1356" s="145"/>
      <c r="AF1356" s="145"/>
      <c r="AG1356" s="145"/>
      <c r="AH1356" s="145"/>
      <c r="AI1356" s="145"/>
      <c r="AJ1356" s="145"/>
      <c r="AK1356" s="145"/>
      <c r="AL1356" s="145"/>
      <c r="AM1356" s="145"/>
      <c r="AN1356" s="145"/>
      <c r="AO1356" s="145"/>
      <c r="AP1356" s="145"/>
      <c r="AQ1356" s="145"/>
      <c r="AR1356" s="145"/>
      <c r="AS1356" s="145"/>
      <c r="AT1356" s="145"/>
      <c r="AU1356" s="145"/>
      <c r="AV1356" s="146"/>
      <c r="AW1356" s="146"/>
      <c r="AX1356" s="146"/>
      <c r="AY1356" s="146"/>
      <c r="AZ1356" s="145"/>
      <c r="BA1356" s="146"/>
      <c r="BB1356" s="145"/>
      <c r="BC1356" s="145"/>
      <c r="BD1356" s="145"/>
      <c r="BE1356" s="145"/>
      <c r="BF1356" s="145"/>
      <c r="BG1356" s="145"/>
      <c r="BH1356" s="145"/>
      <c r="BI1356" s="145"/>
      <c r="BJ1356" s="145"/>
      <c r="BK1356" s="145"/>
    </row>
    <row r="1357" spans="1:63" s="147" customFormat="1" ht="15" x14ac:dyDescent="0.25">
      <c r="A1357" s="39" t="s">
        <v>859</v>
      </c>
      <c r="B1357" s="97" t="s">
        <v>157</v>
      </c>
      <c r="C1357" s="103" t="s">
        <v>158</v>
      </c>
      <c r="D1357" s="103"/>
      <c r="E1357" s="103"/>
      <c r="F1357" s="103"/>
      <c r="G1357" s="103"/>
      <c r="H1357" s="41" t="s">
        <v>105</v>
      </c>
      <c r="I1357" s="42">
        <v>1.65</v>
      </c>
      <c r="J1357" s="43">
        <v>1</v>
      </c>
      <c r="K1357" s="66">
        <v>1.65</v>
      </c>
      <c r="L1357" s="49">
        <v>8723.2999999999993</v>
      </c>
      <c r="M1357" s="62">
        <v>1.17</v>
      </c>
      <c r="N1357" s="49">
        <v>10206.26</v>
      </c>
      <c r="O1357" s="42"/>
      <c r="P1357" s="50">
        <v>41577.854399999997</v>
      </c>
      <c r="Q1357" s="82"/>
      <c r="R1357" s="82"/>
      <c r="S1357" s="82"/>
      <c r="T1357" s="82"/>
      <c r="U1357" s="156"/>
      <c r="V1357" s="82"/>
      <c r="W1357" s="171"/>
      <c r="X1357" s="82"/>
      <c r="Y1357" s="82"/>
      <c r="Z1357" s="82"/>
      <c r="AA1357" s="82"/>
      <c r="AB1357" s="145"/>
      <c r="AC1357" s="145"/>
      <c r="AD1357" s="145"/>
      <c r="AE1357" s="145"/>
      <c r="AF1357" s="145"/>
      <c r="AG1357" s="145"/>
      <c r="AH1357" s="145"/>
      <c r="AI1357" s="145"/>
      <c r="AJ1357" s="145"/>
      <c r="AK1357" s="145"/>
      <c r="AL1357" s="145"/>
      <c r="AM1357" s="145"/>
      <c r="AN1357" s="145"/>
      <c r="AO1357" s="145"/>
      <c r="AP1357" s="145"/>
      <c r="AQ1357" s="145"/>
      <c r="AR1357" s="145"/>
      <c r="AS1357" s="145"/>
      <c r="AT1357" s="145"/>
      <c r="AU1357" s="145"/>
      <c r="AV1357" s="146"/>
      <c r="AW1357" s="146"/>
      <c r="AX1357" s="146"/>
      <c r="AY1357" s="146"/>
      <c r="AZ1357" s="145"/>
      <c r="BA1357" s="146"/>
      <c r="BB1357" s="145"/>
      <c r="BC1357" s="145"/>
      <c r="BD1357" s="145"/>
      <c r="BE1357" s="145"/>
      <c r="BF1357" s="145"/>
      <c r="BG1357" s="145"/>
      <c r="BH1357" s="145"/>
      <c r="BI1357" s="145"/>
      <c r="BJ1357" s="145"/>
      <c r="BK1357" s="145"/>
    </row>
    <row r="1358" spans="1:63" s="147" customFormat="1" ht="15" x14ac:dyDescent="0.25">
      <c r="A1358" s="59"/>
      <c r="B1358" s="98"/>
      <c r="C1358" s="102" t="s">
        <v>63</v>
      </c>
      <c r="D1358" s="102"/>
      <c r="E1358" s="102"/>
      <c r="F1358" s="102"/>
      <c r="G1358" s="102"/>
      <c r="H1358" s="41"/>
      <c r="I1358" s="42"/>
      <c r="J1358" s="42"/>
      <c r="K1358" s="42"/>
      <c r="L1358" s="45"/>
      <c r="M1358" s="42"/>
      <c r="N1358" s="45"/>
      <c r="O1358" s="42"/>
      <c r="P1358" s="50">
        <v>41577.854399999997</v>
      </c>
      <c r="Q1358" s="82"/>
      <c r="R1358" s="82"/>
      <c r="S1358" s="82"/>
      <c r="T1358" s="82"/>
      <c r="U1358" s="156"/>
      <c r="V1358" s="82"/>
      <c r="X1358" s="82"/>
      <c r="Y1358" s="82"/>
      <c r="Z1358" s="82"/>
      <c r="AA1358" s="82"/>
      <c r="AB1358" s="145"/>
      <c r="AC1358" s="145"/>
      <c r="AD1358" s="145"/>
      <c r="AE1358" s="145"/>
      <c r="AF1358" s="145"/>
      <c r="AG1358" s="145"/>
      <c r="AH1358" s="145"/>
      <c r="AI1358" s="145"/>
      <c r="AJ1358" s="145"/>
      <c r="AK1358" s="145"/>
      <c r="AL1358" s="145"/>
      <c r="AM1358" s="145"/>
      <c r="AN1358" s="145"/>
      <c r="AO1358" s="145"/>
      <c r="AP1358" s="145"/>
      <c r="AQ1358" s="145"/>
      <c r="AR1358" s="145"/>
      <c r="AS1358" s="145"/>
      <c r="AT1358" s="145"/>
      <c r="AU1358" s="145"/>
      <c r="AV1358" s="146"/>
      <c r="AW1358" s="146"/>
      <c r="AX1358" s="146"/>
      <c r="AY1358" s="146"/>
      <c r="AZ1358" s="145"/>
      <c r="BA1358" s="146"/>
      <c r="BB1358" s="145"/>
      <c r="BC1358" s="145"/>
      <c r="BD1358" s="145"/>
      <c r="BE1358" s="145"/>
      <c r="BF1358" s="145"/>
      <c r="BG1358" s="145"/>
      <c r="BH1358" s="145"/>
      <c r="BI1358" s="145"/>
      <c r="BJ1358" s="145"/>
      <c r="BK1358" s="145"/>
    </row>
    <row r="1359" spans="1:63" s="147" customFormat="1" ht="15" x14ac:dyDescent="0.25">
      <c r="A1359" s="107" t="s">
        <v>159</v>
      </c>
      <c r="B1359" s="108"/>
      <c r="C1359" s="108"/>
      <c r="D1359" s="108"/>
      <c r="E1359" s="108"/>
      <c r="F1359" s="108"/>
      <c r="G1359" s="108"/>
      <c r="H1359" s="108"/>
      <c r="I1359" s="108"/>
      <c r="J1359" s="108"/>
      <c r="K1359" s="108"/>
      <c r="L1359" s="108"/>
      <c r="M1359" s="108"/>
      <c r="N1359" s="108"/>
      <c r="O1359" s="108"/>
      <c r="P1359" s="109"/>
      <c r="Q1359" s="82"/>
      <c r="R1359" s="82"/>
      <c r="S1359" s="82"/>
      <c r="T1359" s="82"/>
      <c r="U1359" s="82"/>
      <c r="V1359" s="82"/>
      <c r="W1359" s="82"/>
      <c r="X1359" s="82"/>
      <c r="Y1359" s="82"/>
      <c r="Z1359" s="82"/>
      <c r="AA1359" s="82"/>
      <c r="AB1359" s="145"/>
      <c r="AC1359" s="145"/>
      <c r="AD1359" s="145"/>
      <c r="AE1359" s="145"/>
      <c r="AF1359" s="145"/>
      <c r="AG1359" s="145"/>
      <c r="AH1359" s="145"/>
      <c r="AI1359" s="145"/>
      <c r="AJ1359" s="145"/>
      <c r="AK1359" s="145"/>
      <c r="AL1359" s="145"/>
      <c r="AM1359" s="145"/>
      <c r="AN1359" s="145"/>
      <c r="AO1359" s="145"/>
      <c r="AP1359" s="145"/>
      <c r="AQ1359" s="145"/>
      <c r="AR1359" s="145"/>
      <c r="AS1359" s="145"/>
      <c r="AT1359" s="145"/>
      <c r="AU1359" s="145"/>
      <c r="AV1359" s="146"/>
      <c r="AW1359" s="146"/>
      <c r="AX1359" s="146"/>
      <c r="AY1359" s="146"/>
      <c r="AZ1359" s="145"/>
      <c r="BA1359" s="146"/>
      <c r="BB1359" s="145"/>
      <c r="BC1359" s="145"/>
      <c r="BD1359" s="145"/>
      <c r="BE1359" s="145"/>
      <c r="BF1359" s="145"/>
      <c r="BG1359" s="145"/>
      <c r="BH1359" s="145"/>
      <c r="BI1359" s="145"/>
      <c r="BJ1359" s="145"/>
      <c r="BK1359" s="145"/>
    </row>
    <row r="1360" spans="1:63" s="147" customFormat="1" ht="15" x14ac:dyDescent="0.25">
      <c r="A1360" s="39" t="s">
        <v>860</v>
      </c>
      <c r="B1360" s="97" t="s">
        <v>161</v>
      </c>
      <c r="C1360" s="103" t="s">
        <v>162</v>
      </c>
      <c r="D1360" s="103"/>
      <c r="E1360" s="103"/>
      <c r="F1360" s="103"/>
      <c r="G1360" s="103"/>
      <c r="H1360" s="41" t="s">
        <v>55</v>
      </c>
      <c r="I1360" s="42">
        <v>0.1053</v>
      </c>
      <c r="J1360" s="43">
        <v>1</v>
      </c>
      <c r="K1360" s="44">
        <v>0.1053</v>
      </c>
      <c r="L1360" s="45"/>
      <c r="M1360" s="42"/>
      <c r="N1360" s="45"/>
      <c r="O1360" s="42"/>
      <c r="P1360" s="46"/>
      <c r="Q1360" s="82"/>
      <c r="R1360" s="82"/>
      <c r="S1360" s="82"/>
      <c r="T1360" s="82"/>
      <c r="U1360" s="82"/>
      <c r="V1360" s="82"/>
      <c r="W1360" s="82"/>
      <c r="X1360" s="82"/>
      <c r="Y1360" s="82"/>
      <c r="Z1360" s="82"/>
      <c r="AA1360" s="82"/>
      <c r="AB1360" s="145"/>
      <c r="AC1360" s="145"/>
      <c r="AD1360" s="145"/>
      <c r="AE1360" s="145"/>
      <c r="AF1360" s="145"/>
      <c r="AG1360" s="145"/>
      <c r="AH1360" s="145"/>
      <c r="AI1360" s="145"/>
      <c r="AJ1360" s="145"/>
      <c r="AK1360" s="145"/>
      <c r="AL1360" s="145"/>
      <c r="AM1360" s="145"/>
      <c r="AN1360" s="145"/>
      <c r="AO1360" s="145"/>
      <c r="AP1360" s="145"/>
      <c r="AQ1360" s="145"/>
      <c r="AR1360" s="145"/>
      <c r="AS1360" s="145"/>
      <c r="AT1360" s="145"/>
      <c r="AU1360" s="145"/>
      <c r="AV1360" s="146"/>
      <c r="AW1360" s="146"/>
      <c r="AX1360" s="146"/>
      <c r="AY1360" s="146"/>
      <c r="AZ1360" s="145"/>
      <c r="BA1360" s="146"/>
      <c r="BB1360" s="145"/>
      <c r="BC1360" s="145"/>
      <c r="BD1360" s="145"/>
      <c r="BE1360" s="145"/>
      <c r="BF1360" s="145"/>
      <c r="BG1360" s="145"/>
      <c r="BH1360" s="145"/>
      <c r="BI1360" s="145"/>
      <c r="BJ1360" s="145"/>
      <c r="BK1360" s="145"/>
    </row>
    <row r="1361" spans="1:63" s="147" customFormat="1" ht="15" x14ac:dyDescent="0.25">
      <c r="A1361" s="47"/>
      <c r="B1361" s="48"/>
      <c r="C1361" s="102" t="s">
        <v>56</v>
      </c>
      <c r="D1361" s="102"/>
      <c r="E1361" s="102"/>
      <c r="F1361" s="102"/>
      <c r="G1361" s="102"/>
      <c r="H1361" s="41"/>
      <c r="I1361" s="42"/>
      <c r="J1361" s="42"/>
      <c r="K1361" s="42"/>
      <c r="L1361" s="45"/>
      <c r="M1361" s="42"/>
      <c r="N1361" s="49"/>
      <c r="O1361" s="42"/>
      <c r="P1361" s="50">
        <v>3882.768</v>
      </c>
      <c r="Q1361" s="157"/>
      <c r="R1361" s="157"/>
      <c r="S1361" s="82"/>
      <c r="T1361" s="82"/>
      <c r="U1361" s="156"/>
      <c r="V1361" s="82"/>
      <c r="W1361" s="166"/>
      <c r="X1361" s="82"/>
      <c r="Y1361" s="82"/>
      <c r="Z1361" s="82"/>
      <c r="AA1361" s="82"/>
      <c r="AB1361" s="145"/>
      <c r="AC1361" s="145"/>
      <c r="AD1361" s="145"/>
      <c r="AE1361" s="145"/>
      <c r="AF1361" s="145"/>
      <c r="AG1361" s="145"/>
      <c r="AH1361" s="145"/>
      <c r="AI1361" s="145"/>
      <c r="AJ1361" s="145"/>
      <c r="AK1361" s="145"/>
      <c r="AL1361" s="145"/>
      <c r="AM1361" s="145"/>
      <c r="AN1361" s="145"/>
      <c r="AO1361" s="145"/>
      <c r="AP1361" s="145"/>
      <c r="AQ1361" s="145"/>
      <c r="AR1361" s="145"/>
      <c r="AS1361" s="145"/>
      <c r="AT1361" s="145"/>
      <c r="AU1361" s="145"/>
      <c r="AV1361" s="146"/>
      <c r="AW1361" s="146"/>
      <c r="AX1361" s="146"/>
      <c r="AY1361" s="146"/>
      <c r="AZ1361" s="145"/>
      <c r="BA1361" s="146"/>
      <c r="BB1361" s="145"/>
      <c r="BC1361" s="145"/>
      <c r="BD1361" s="145"/>
      <c r="BE1361" s="145"/>
      <c r="BF1361" s="145"/>
      <c r="BG1361" s="145"/>
      <c r="BH1361" s="145"/>
      <c r="BI1361" s="145"/>
      <c r="BJ1361" s="145"/>
      <c r="BK1361" s="145"/>
    </row>
    <row r="1362" spans="1:63" s="147" customFormat="1" ht="15" x14ac:dyDescent="0.25">
      <c r="A1362" s="52"/>
      <c r="B1362" s="53"/>
      <c r="C1362" s="104" t="s">
        <v>57</v>
      </c>
      <c r="D1362" s="104"/>
      <c r="E1362" s="104"/>
      <c r="F1362" s="104"/>
      <c r="G1362" s="104"/>
      <c r="H1362" s="54"/>
      <c r="I1362" s="55"/>
      <c r="J1362" s="55"/>
      <c r="K1362" s="55"/>
      <c r="L1362" s="56"/>
      <c r="M1362" s="55"/>
      <c r="N1362" s="56"/>
      <c r="O1362" s="55"/>
      <c r="P1362" s="77">
        <v>3877.7194999999997</v>
      </c>
      <c r="Q1362" s="82"/>
      <c r="R1362" s="82"/>
      <c r="S1362" s="82"/>
      <c r="T1362" s="82"/>
      <c r="U1362" s="163"/>
      <c r="V1362" s="82"/>
      <c r="W1362" s="151"/>
      <c r="X1362" s="82"/>
      <c r="Y1362" s="82"/>
      <c r="Z1362" s="82"/>
      <c r="AA1362" s="82"/>
      <c r="AB1362" s="145"/>
      <c r="AC1362" s="145"/>
      <c r="AD1362" s="145"/>
      <c r="AE1362" s="145"/>
      <c r="AF1362" s="145"/>
      <c r="AG1362" s="145"/>
      <c r="AH1362" s="145"/>
      <c r="AI1362" s="145"/>
      <c r="AJ1362" s="145"/>
      <c r="AK1362" s="145"/>
      <c r="AL1362" s="145"/>
      <c r="AM1362" s="145"/>
      <c r="AN1362" s="145"/>
      <c r="AO1362" s="145"/>
      <c r="AP1362" s="145"/>
      <c r="AQ1362" s="145"/>
      <c r="AR1362" s="145"/>
      <c r="AS1362" s="145"/>
      <c r="AT1362" s="145"/>
      <c r="AU1362" s="145"/>
      <c r="AV1362" s="146"/>
      <c r="AW1362" s="146"/>
      <c r="AX1362" s="146"/>
      <c r="AY1362" s="146"/>
      <c r="AZ1362" s="145"/>
      <c r="BA1362" s="146"/>
      <c r="BB1362" s="145"/>
      <c r="BC1362" s="145"/>
      <c r="BD1362" s="145"/>
      <c r="BE1362" s="145"/>
      <c r="BF1362" s="145"/>
      <c r="BG1362" s="145"/>
      <c r="BH1362" s="145"/>
      <c r="BI1362" s="145"/>
      <c r="BJ1362" s="145"/>
      <c r="BK1362" s="145"/>
    </row>
    <row r="1363" spans="1:63" s="147" customFormat="1" ht="15" x14ac:dyDescent="0.25">
      <c r="A1363" s="52"/>
      <c r="B1363" s="53" t="s">
        <v>163</v>
      </c>
      <c r="C1363" s="104" t="s">
        <v>164</v>
      </c>
      <c r="D1363" s="104"/>
      <c r="E1363" s="104"/>
      <c r="F1363" s="104"/>
      <c r="G1363" s="104"/>
      <c r="H1363" s="54" t="s">
        <v>60</v>
      </c>
      <c r="I1363" s="58">
        <v>89</v>
      </c>
      <c r="J1363" s="55"/>
      <c r="K1363" s="58">
        <v>89</v>
      </c>
      <c r="L1363" s="56"/>
      <c r="M1363" s="55"/>
      <c r="N1363" s="56"/>
      <c r="O1363" s="55"/>
      <c r="P1363" s="77">
        <v>3451.1729999999998</v>
      </c>
      <c r="Q1363" s="82"/>
      <c r="R1363" s="82"/>
      <c r="S1363" s="82"/>
      <c r="T1363" s="82"/>
      <c r="U1363" s="163"/>
      <c r="V1363" s="82"/>
      <c r="W1363" s="160"/>
      <c r="X1363" s="82"/>
      <c r="Y1363" s="82"/>
      <c r="Z1363" s="82"/>
      <c r="AA1363" s="82"/>
      <c r="AB1363" s="145"/>
      <c r="AC1363" s="145"/>
      <c r="AD1363" s="145"/>
      <c r="AE1363" s="145"/>
      <c r="AF1363" s="145"/>
      <c r="AG1363" s="145"/>
      <c r="AH1363" s="145"/>
      <c r="AI1363" s="145"/>
      <c r="AJ1363" s="145"/>
      <c r="AK1363" s="145"/>
      <c r="AL1363" s="145"/>
      <c r="AM1363" s="145"/>
      <c r="AN1363" s="145"/>
      <c r="AO1363" s="145"/>
      <c r="AP1363" s="145"/>
      <c r="AQ1363" s="145"/>
      <c r="AR1363" s="145"/>
      <c r="AS1363" s="145"/>
      <c r="AT1363" s="145"/>
      <c r="AU1363" s="145"/>
      <c r="AV1363" s="146"/>
      <c r="AW1363" s="146"/>
      <c r="AX1363" s="146"/>
      <c r="AY1363" s="146"/>
      <c r="AZ1363" s="145"/>
      <c r="BA1363" s="146"/>
      <c r="BB1363" s="145"/>
      <c r="BC1363" s="145"/>
      <c r="BD1363" s="145"/>
      <c r="BE1363" s="145"/>
      <c r="BF1363" s="145"/>
      <c r="BG1363" s="145"/>
      <c r="BH1363" s="145"/>
      <c r="BI1363" s="145"/>
      <c r="BJ1363" s="145"/>
      <c r="BK1363" s="145"/>
    </row>
    <row r="1364" spans="1:63" s="147" customFormat="1" ht="15" x14ac:dyDescent="0.25">
      <c r="A1364" s="52"/>
      <c r="B1364" s="53" t="s">
        <v>165</v>
      </c>
      <c r="C1364" s="104" t="s">
        <v>166</v>
      </c>
      <c r="D1364" s="104"/>
      <c r="E1364" s="104"/>
      <c r="F1364" s="104"/>
      <c r="G1364" s="104"/>
      <c r="H1364" s="54" t="s">
        <v>60</v>
      </c>
      <c r="I1364" s="58">
        <v>49</v>
      </c>
      <c r="J1364" s="55"/>
      <c r="K1364" s="58">
        <v>49</v>
      </c>
      <c r="L1364" s="56"/>
      <c r="M1364" s="55"/>
      <c r="N1364" s="56"/>
      <c r="O1364" s="55"/>
      <c r="P1364" s="77">
        <v>1900.0874999999999</v>
      </c>
      <c r="Q1364" s="82"/>
      <c r="R1364" s="82"/>
      <c r="S1364" s="82"/>
      <c r="T1364" s="82"/>
      <c r="U1364" s="163"/>
      <c r="V1364" s="82"/>
      <c r="W1364" s="164"/>
      <c r="X1364" s="82"/>
      <c r="Y1364" s="82"/>
      <c r="Z1364" s="82"/>
      <c r="AA1364" s="82"/>
      <c r="AB1364" s="145"/>
      <c r="AC1364" s="145"/>
      <c r="AD1364" s="145"/>
      <c r="AE1364" s="145"/>
      <c r="AF1364" s="145"/>
      <c r="AG1364" s="145"/>
      <c r="AH1364" s="145"/>
      <c r="AI1364" s="145"/>
      <c r="AJ1364" s="145"/>
      <c r="AK1364" s="145"/>
      <c r="AL1364" s="145"/>
      <c r="AM1364" s="145"/>
      <c r="AN1364" s="145"/>
      <c r="AO1364" s="145"/>
      <c r="AP1364" s="145"/>
      <c r="AQ1364" s="145"/>
      <c r="AR1364" s="145"/>
      <c r="AS1364" s="145"/>
      <c r="AT1364" s="145"/>
      <c r="AU1364" s="145"/>
      <c r="AV1364" s="146"/>
      <c r="AW1364" s="146"/>
      <c r="AX1364" s="146"/>
      <c r="AY1364" s="146"/>
      <c r="AZ1364" s="145"/>
      <c r="BA1364" s="146"/>
      <c r="BB1364" s="145"/>
      <c r="BC1364" s="145"/>
      <c r="BD1364" s="145"/>
      <c r="BE1364" s="145"/>
      <c r="BF1364" s="145"/>
      <c r="BG1364" s="145"/>
      <c r="BH1364" s="145"/>
      <c r="BI1364" s="145"/>
      <c r="BJ1364" s="145"/>
      <c r="BK1364" s="145"/>
    </row>
    <row r="1365" spans="1:63" s="147" customFormat="1" ht="15" x14ac:dyDescent="0.25">
      <c r="A1365" s="59"/>
      <c r="B1365" s="98"/>
      <c r="C1365" s="102" t="s">
        <v>63</v>
      </c>
      <c r="D1365" s="102"/>
      <c r="E1365" s="102"/>
      <c r="F1365" s="102"/>
      <c r="G1365" s="102"/>
      <c r="H1365" s="41"/>
      <c r="I1365" s="42"/>
      <c r="J1365" s="42"/>
      <c r="K1365" s="42"/>
      <c r="L1365" s="45"/>
      <c r="M1365" s="42"/>
      <c r="N1365" s="49">
        <v>68453.45</v>
      </c>
      <c r="O1365" s="42"/>
      <c r="P1365" s="50">
        <v>12684.028499999999</v>
      </c>
      <c r="Q1365" s="82"/>
      <c r="R1365" s="82"/>
      <c r="S1365" s="82"/>
      <c r="T1365" s="82"/>
      <c r="U1365" s="156"/>
      <c r="V1365" s="82"/>
      <c r="W1365" s="164"/>
      <c r="X1365" s="82"/>
      <c r="Y1365" s="82"/>
      <c r="Z1365" s="82"/>
      <c r="AA1365" s="82"/>
      <c r="AB1365" s="145"/>
      <c r="AC1365" s="145"/>
      <c r="AD1365" s="145"/>
      <c r="AE1365" s="145"/>
      <c r="AF1365" s="145"/>
      <c r="AG1365" s="145"/>
      <c r="AH1365" s="145"/>
      <c r="AI1365" s="145"/>
      <c r="AJ1365" s="145"/>
      <c r="AK1365" s="145"/>
      <c r="AL1365" s="145"/>
      <c r="AM1365" s="145"/>
      <c r="AN1365" s="145"/>
      <c r="AO1365" s="145"/>
      <c r="AP1365" s="145"/>
      <c r="AQ1365" s="145"/>
      <c r="AR1365" s="145"/>
      <c r="AS1365" s="145"/>
      <c r="AT1365" s="145"/>
      <c r="AU1365" s="145"/>
      <c r="AV1365" s="146"/>
      <c r="AW1365" s="146"/>
      <c r="AX1365" s="146"/>
      <c r="AY1365" s="146"/>
      <c r="AZ1365" s="145"/>
      <c r="BA1365" s="146"/>
      <c r="BB1365" s="145"/>
      <c r="BC1365" s="145"/>
      <c r="BD1365" s="145"/>
      <c r="BE1365" s="145"/>
      <c r="BF1365" s="145"/>
      <c r="BG1365" s="145"/>
      <c r="BH1365" s="145"/>
      <c r="BI1365" s="145"/>
      <c r="BJ1365" s="145"/>
      <c r="BK1365" s="145"/>
    </row>
    <row r="1366" spans="1:63" s="147" customFormat="1" ht="15" x14ac:dyDescent="0.25">
      <c r="A1366" s="39" t="s">
        <v>861</v>
      </c>
      <c r="B1366" s="97" t="s">
        <v>168</v>
      </c>
      <c r="C1366" s="103" t="s">
        <v>169</v>
      </c>
      <c r="D1366" s="103"/>
      <c r="E1366" s="103"/>
      <c r="F1366" s="103"/>
      <c r="G1366" s="103"/>
      <c r="H1366" s="41" t="s">
        <v>170</v>
      </c>
      <c r="I1366" s="42">
        <v>0.62</v>
      </c>
      <c r="J1366" s="43">
        <v>1</v>
      </c>
      <c r="K1366" s="62">
        <v>0.621</v>
      </c>
      <c r="L1366" s="45"/>
      <c r="M1366" s="42"/>
      <c r="N1366" s="45"/>
      <c r="O1366" s="42"/>
      <c r="P1366" s="50"/>
      <c r="Q1366" s="82"/>
      <c r="R1366" s="82"/>
      <c r="S1366" s="82"/>
      <c r="T1366" s="82"/>
      <c r="U1366" s="153"/>
      <c r="V1366" s="82"/>
      <c r="W1366" s="151"/>
      <c r="X1366" s="82"/>
      <c r="Y1366" s="82"/>
      <c r="Z1366" s="82"/>
      <c r="AA1366" s="82"/>
      <c r="AB1366" s="145"/>
      <c r="AC1366" s="145"/>
      <c r="AD1366" s="145"/>
      <c r="AE1366" s="145"/>
      <c r="AF1366" s="145"/>
      <c r="AG1366" s="145"/>
      <c r="AH1366" s="145"/>
      <c r="AI1366" s="145"/>
      <c r="AJ1366" s="145"/>
      <c r="AK1366" s="145"/>
      <c r="AL1366" s="145"/>
      <c r="AM1366" s="145"/>
      <c r="AN1366" s="145"/>
      <c r="AO1366" s="145"/>
      <c r="AP1366" s="145"/>
      <c r="AQ1366" s="145"/>
      <c r="AR1366" s="145"/>
      <c r="AS1366" s="145"/>
      <c r="AT1366" s="145"/>
      <c r="AU1366" s="145"/>
      <c r="AV1366" s="146"/>
      <c r="AW1366" s="146"/>
      <c r="AX1366" s="146"/>
      <c r="AY1366" s="146"/>
      <c r="AZ1366" s="145"/>
      <c r="BA1366" s="146"/>
      <c r="BB1366" s="145"/>
      <c r="BC1366" s="145"/>
      <c r="BD1366" s="145"/>
      <c r="BE1366" s="145"/>
      <c r="BF1366" s="145"/>
      <c r="BG1366" s="145"/>
      <c r="BH1366" s="145"/>
      <c r="BI1366" s="145"/>
      <c r="BJ1366" s="145"/>
      <c r="BK1366" s="145"/>
    </row>
    <row r="1367" spans="1:63" s="147" customFormat="1" ht="15" x14ac:dyDescent="0.25">
      <c r="A1367" s="47"/>
      <c r="B1367" s="48"/>
      <c r="C1367" s="102" t="s">
        <v>56</v>
      </c>
      <c r="D1367" s="102"/>
      <c r="E1367" s="102"/>
      <c r="F1367" s="102"/>
      <c r="G1367" s="102"/>
      <c r="H1367" s="41"/>
      <c r="I1367" s="42"/>
      <c r="J1367" s="42"/>
      <c r="K1367" s="42"/>
      <c r="L1367" s="45"/>
      <c r="M1367" s="42"/>
      <c r="N1367" s="49"/>
      <c r="O1367" s="42"/>
      <c r="P1367" s="50">
        <v>3946.6964999999996</v>
      </c>
      <c r="Q1367" s="157"/>
      <c r="R1367" s="157"/>
      <c r="S1367" s="82"/>
      <c r="T1367" s="82"/>
      <c r="U1367" s="156"/>
      <c r="V1367" s="82"/>
      <c r="W1367" s="168"/>
      <c r="X1367" s="82"/>
      <c r="Y1367" s="82"/>
      <c r="Z1367" s="82"/>
      <c r="AA1367" s="82"/>
      <c r="AB1367" s="145"/>
      <c r="AC1367" s="145"/>
      <c r="AD1367" s="145"/>
      <c r="AE1367" s="145"/>
      <c r="AF1367" s="145"/>
      <c r="AG1367" s="145"/>
      <c r="AH1367" s="145"/>
      <c r="AI1367" s="145"/>
      <c r="AJ1367" s="145"/>
      <c r="AK1367" s="145"/>
      <c r="AL1367" s="145"/>
      <c r="AM1367" s="145"/>
      <c r="AN1367" s="145"/>
      <c r="AO1367" s="145"/>
      <c r="AP1367" s="145"/>
      <c r="AQ1367" s="145"/>
      <c r="AR1367" s="145"/>
      <c r="AS1367" s="145"/>
      <c r="AT1367" s="145"/>
      <c r="AU1367" s="145"/>
      <c r="AV1367" s="146"/>
      <c r="AW1367" s="146"/>
      <c r="AX1367" s="146"/>
      <c r="AY1367" s="146"/>
      <c r="AZ1367" s="145"/>
      <c r="BA1367" s="146"/>
      <c r="BB1367" s="145"/>
      <c r="BC1367" s="145"/>
      <c r="BD1367" s="145"/>
      <c r="BE1367" s="145"/>
      <c r="BF1367" s="145"/>
      <c r="BG1367" s="145"/>
      <c r="BH1367" s="145"/>
      <c r="BI1367" s="145"/>
      <c r="BJ1367" s="145"/>
      <c r="BK1367" s="145"/>
    </row>
    <row r="1368" spans="1:63" s="147" customFormat="1" ht="15" x14ac:dyDescent="0.25">
      <c r="A1368" s="52"/>
      <c r="B1368" s="53"/>
      <c r="C1368" s="104" t="s">
        <v>57</v>
      </c>
      <c r="D1368" s="104"/>
      <c r="E1368" s="104"/>
      <c r="F1368" s="104"/>
      <c r="G1368" s="104"/>
      <c r="H1368" s="54"/>
      <c r="I1368" s="55"/>
      <c r="J1368" s="55"/>
      <c r="K1368" s="55"/>
      <c r="L1368" s="56"/>
      <c r="M1368" s="55"/>
      <c r="N1368" s="56"/>
      <c r="O1368" s="55"/>
      <c r="P1368" s="77">
        <v>3555.4089999999997</v>
      </c>
      <c r="Q1368" s="82"/>
      <c r="R1368" s="82"/>
      <c r="S1368" s="82"/>
      <c r="T1368" s="82"/>
      <c r="U1368" s="163"/>
      <c r="V1368" s="82"/>
      <c r="W1368" s="151"/>
      <c r="X1368" s="82"/>
      <c r="Y1368" s="82"/>
      <c r="Z1368" s="82"/>
      <c r="AA1368" s="82"/>
      <c r="AB1368" s="145"/>
      <c r="AC1368" s="145"/>
      <c r="AD1368" s="145"/>
      <c r="AE1368" s="145"/>
      <c r="AF1368" s="145"/>
      <c r="AG1368" s="145"/>
      <c r="AH1368" s="145"/>
      <c r="AI1368" s="145"/>
      <c r="AJ1368" s="145"/>
      <c r="AK1368" s="145"/>
      <c r="AL1368" s="145"/>
      <c r="AM1368" s="145"/>
      <c r="AN1368" s="145"/>
      <c r="AO1368" s="145"/>
      <c r="AP1368" s="145"/>
      <c r="AQ1368" s="145"/>
      <c r="AR1368" s="145"/>
      <c r="AS1368" s="145"/>
      <c r="AT1368" s="145"/>
      <c r="AU1368" s="145"/>
      <c r="AV1368" s="146"/>
      <c r="AW1368" s="146"/>
      <c r="AX1368" s="146"/>
      <c r="AY1368" s="146"/>
      <c r="AZ1368" s="145"/>
      <c r="BA1368" s="146"/>
      <c r="BB1368" s="145"/>
      <c r="BC1368" s="145"/>
      <c r="BD1368" s="145"/>
      <c r="BE1368" s="145"/>
      <c r="BF1368" s="145"/>
      <c r="BG1368" s="145"/>
      <c r="BH1368" s="145"/>
      <c r="BI1368" s="145"/>
      <c r="BJ1368" s="145"/>
      <c r="BK1368" s="145"/>
    </row>
    <row r="1369" spans="1:63" s="147" customFormat="1" ht="15" x14ac:dyDescent="0.25">
      <c r="A1369" s="52"/>
      <c r="B1369" s="53" t="s">
        <v>149</v>
      </c>
      <c r="C1369" s="104" t="s">
        <v>150</v>
      </c>
      <c r="D1369" s="104"/>
      <c r="E1369" s="104"/>
      <c r="F1369" s="104"/>
      <c r="G1369" s="104"/>
      <c r="H1369" s="54" t="s">
        <v>60</v>
      </c>
      <c r="I1369" s="58">
        <v>91</v>
      </c>
      <c r="J1369" s="55"/>
      <c r="K1369" s="58">
        <v>91</v>
      </c>
      <c r="L1369" s="56"/>
      <c r="M1369" s="55"/>
      <c r="N1369" s="56"/>
      <c r="O1369" s="55"/>
      <c r="P1369" s="77">
        <v>3235.4214999999995</v>
      </c>
      <c r="Q1369" s="82"/>
      <c r="R1369" s="82"/>
      <c r="S1369" s="82"/>
      <c r="T1369" s="82"/>
      <c r="U1369" s="163"/>
      <c r="V1369" s="82"/>
      <c r="W1369" s="160"/>
      <c r="X1369" s="82"/>
      <c r="Y1369" s="82"/>
      <c r="Z1369" s="82"/>
      <c r="AA1369" s="82"/>
      <c r="AB1369" s="145"/>
      <c r="AC1369" s="145"/>
      <c r="AD1369" s="145"/>
      <c r="AE1369" s="145"/>
      <c r="AF1369" s="145"/>
      <c r="AG1369" s="145"/>
      <c r="AH1369" s="145"/>
      <c r="AI1369" s="145"/>
      <c r="AJ1369" s="145"/>
      <c r="AK1369" s="145"/>
      <c r="AL1369" s="145"/>
      <c r="AM1369" s="145"/>
      <c r="AN1369" s="145"/>
      <c r="AO1369" s="145"/>
      <c r="AP1369" s="145"/>
      <c r="AQ1369" s="145"/>
      <c r="AR1369" s="145"/>
      <c r="AS1369" s="145"/>
      <c r="AT1369" s="145"/>
      <c r="AU1369" s="145"/>
      <c r="AV1369" s="146"/>
      <c r="AW1369" s="146"/>
      <c r="AX1369" s="146"/>
      <c r="AY1369" s="146"/>
      <c r="AZ1369" s="145"/>
      <c r="BA1369" s="146"/>
      <c r="BB1369" s="145"/>
      <c r="BC1369" s="145"/>
      <c r="BD1369" s="145"/>
      <c r="BE1369" s="145"/>
      <c r="BF1369" s="145"/>
      <c r="BG1369" s="145"/>
      <c r="BH1369" s="145"/>
      <c r="BI1369" s="145"/>
      <c r="BJ1369" s="145"/>
      <c r="BK1369" s="145"/>
    </row>
    <row r="1370" spans="1:63" s="147" customFormat="1" ht="15" x14ac:dyDescent="0.25">
      <c r="A1370" s="52"/>
      <c r="B1370" s="53" t="s">
        <v>151</v>
      </c>
      <c r="C1370" s="104" t="s">
        <v>152</v>
      </c>
      <c r="D1370" s="104"/>
      <c r="E1370" s="104"/>
      <c r="F1370" s="104"/>
      <c r="G1370" s="104"/>
      <c r="H1370" s="54" t="s">
        <v>60</v>
      </c>
      <c r="I1370" s="58">
        <v>52</v>
      </c>
      <c r="J1370" s="55"/>
      <c r="K1370" s="58">
        <v>52</v>
      </c>
      <c r="L1370" s="56"/>
      <c r="M1370" s="55"/>
      <c r="N1370" s="56"/>
      <c r="O1370" s="55"/>
      <c r="P1370" s="77">
        <v>1848.809</v>
      </c>
      <c r="Q1370" s="82"/>
      <c r="R1370" s="82"/>
      <c r="S1370" s="82"/>
      <c r="T1370" s="82"/>
      <c r="U1370" s="163"/>
      <c r="V1370" s="82"/>
      <c r="W1370" s="164"/>
      <c r="X1370" s="82"/>
      <c r="Y1370" s="82"/>
      <c r="Z1370" s="82"/>
      <c r="AA1370" s="82"/>
      <c r="AB1370" s="145"/>
      <c r="AC1370" s="145"/>
      <c r="AD1370" s="145"/>
      <c r="AE1370" s="145"/>
      <c r="AF1370" s="145"/>
      <c r="AG1370" s="145"/>
      <c r="AH1370" s="145"/>
      <c r="AI1370" s="145"/>
      <c r="AJ1370" s="145"/>
      <c r="AK1370" s="145"/>
      <c r="AL1370" s="145"/>
      <c r="AM1370" s="145"/>
      <c r="AN1370" s="145"/>
      <c r="AO1370" s="145"/>
      <c r="AP1370" s="145"/>
      <c r="AQ1370" s="145"/>
      <c r="AR1370" s="145"/>
      <c r="AS1370" s="145"/>
      <c r="AT1370" s="145"/>
      <c r="AU1370" s="145"/>
      <c r="AV1370" s="146"/>
      <c r="AW1370" s="146"/>
      <c r="AX1370" s="146"/>
      <c r="AY1370" s="146"/>
      <c r="AZ1370" s="145"/>
      <c r="BA1370" s="146"/>
      <c r="BB1370" s="145"/>
      <c r="BC1370" s="145"/>
      <c r="BD1370" s="145"/>
      <c r="BE1370" s="145"/>
      <c r="BF1370" s="145"/>
      <c r="BG1370" s="145"/>
      <c r="BH1370" s="145"/>
      <c r="BI1370" s="145"/>
      <c r="BJ1370" s="145"/>
      <c r="BK1370" s="145"/>
    </row>
    <row r="1371" spans="1:63" s="147" customFormat="1" ht="15" x14ac:dyDescent="0.25">
      <c r="A1371" s="59"/>
      <c r="B1371" s="98"/>
      <c r="C1371" s="102" t="s">
        <v>63</v>
      </c>
      <c r="D1371" s="102"/>
      <c r="E1371" s="102"/>
      <c r="F1371" s="102"/>
      <c r="G1371" s="102"/>
      <c r="H1371" s="41"/>
      <c r="I1371" s="42"/>
      <c r="J1371" s="42"/>
      <c r="K1371" s="42"/>
      <c r="L1371" s="45"/>
      <c r="M1371" s="42"/>
      <c r="N1371" s="49">
        <v>8013.24</v>
      </c>
      <c r="O1371" s="42"/>
      <c r="P1371" s="50">
        <v>9030.9269999999997</v>
      </c>
      <c r="Q1371" s="82"/>
      <c r="R1371" s="82"/>
      <c r="S1371" s="82"/>
      <c r="T1371" s="82"/>
      <c r="U1371" s="156"/>
      <c r="V1371" s="82"/>
      <c r="W1371" s="164"/>
      <c r="X1371" s="82"/>
      <c r="Y1371" s="82"/>
      <c r="Z1371" s="82"/>
      <c r="AA1371" s="82"/>
      <c r="AB1371" s="145"/>
      <c r="AC1371" s="145"/>
      <c r="AD1371" s="145"/>
      <c r="AE1371" s="145"/>
      <c r="AF1371" s="145"/>
      <c r="AG1371" s="145"/>
      <c r="AH1371" s="145"/>
      <c r="AI1371" s="145"/>
      <c r="AJ1371" s="145"/>
      <c r="AK1371" s="145"/>
      <c r="AL1371" s="145"/>
      <c r="AM1371" s="145"/>
      <c r="AN1371" s="145"/>
      <c r="AO1371" s="145"/>
      <c r="AP1371" s="145"/>
      <c r="AQ1371" s="145"/>
      <c r="AR1371" s="145"/>
      <c r="AS1371" s="145"/>
      <c r="AT1371" s="145"/>
      <c r="AU1371" s="145"/>
      <c r="AV1371" s="146"/>
      <c r="AW1371" s="146"/>
      <c r="AX1371" s="146"/>
      <c r="AY1371" s="146"/>
      <c r="AZ1371" s="145"/>
      <c r="BA1371" s="146"/>
      <c r="BB1371" s="145"/>
      <c r="BC1371" s="145"/>
      <c r="BD1371" s="145"/>
      <c r="BE1371" s="145"/>
      <c r="BF1371" s="145"/>
      <c r="BG1371" s="145"/>
      <c r="BH1371" s="145"/>
      <c r="BI1371" s="145"/>
      <c r="BJ1371" s="145"/>
      <c r="BK1371" s="145"/>
    </row>
    <row r="1372" spans="1:63" s="147" customFormat="1" ht="15" x14ac:dyDescent="0.25">
      <c r="A1372" s="39" t="s">
        <v>862</v>
      </c>
      <c r="B1372" s="97" t="s">
        <v>172</v>
      </c>
      <c r="C1372" s="103" t="s">
        <v>173</v>
      </c>
      <c r="D1372" s="103"/>
      <c r="E1372" s="103"/>
      <c r="F1372" s="103"/>
      <c r="G1372" s="103"/>
      <c r="H1372" s="41" t="s">
        <v>170</v>
      </c>
      <c r="I1372" s="42">
        <v>2.8000000000000001E-2</v>
      </c>
      <c r="J1372" s="43">
        <v>1</v>
      </c>
      <c r="K1372" s="66">
        <v>2.8000000000000001E-2</v>
      </c>
      <c r="L1372" s="45"/>
      <c r="M1372" s="42"/>
      <c r="N1372" s="45"/>
      <c r="O1372" s="42"/>
      <c r="P1372" s="50"/>
      <c r="Q1372" s="82"/>
      <c r="R1372" s="82"/>
      <c r="S1372" s="82"/>
      <c r="T1372" s="82"/>
      <c r="U1372" s="153"/>
      <c r="V1372" s="82"/>
      <c r="W1372" s="151"/>
      <c r="X1372" s="82"/>
      <c r="Y1372" s="82"/>
      <c r="Z1372" s="82"/>
      <c r="AA1372" s="82"/>
      <c r="AB1372" s="145"/>
      <c r="AC1372" s="145"/>
      <c r="AD1372" s="145"/>
      <c r="AE1372" s="145"/>
      <c r="AF1372" s="145"/>
      <c r="AG1372" s="145"/>
      <c r="AH1372" s="145"/>
      <c r="AI1372" s="145"/>
      <c r="AJ1372" s="145"/>
      <c r="AK1372" s="145"/>
      <c r="AL1372" s="145"/>
      <c r="AM1372" s="145"/>
      <c r="AN1372" s="145"/>
      <c r="AO1372" s="145"/>
      <c r="AP1372" s="145"/>
      <c r="AQ1372" s="145"/>
      <c r="AR1372" s="145"/>
      <c r="AS1372" s="145"/>
      <c r="AT1372" s="145"/>
      <c r="AU1372" s="145"/>
      <c r="AV1372" s="146"/>
      <c r="AW1372" s="146"/>
      <c r="AX1372" s="146"/>
      <c r="AY1372" s="146"/>
      <c r="AZ1372" s="145"/>
      <c r="BA1372" s="146"/>
      <c r="BB1372" s="145"/>
      <c r="BC1372" s="145"/>
      <c r="BD1372" s="145"/>
      <c r="BE1372" s="145"/>
      <c r="BF1372" s="145"/>
      <c r="BG1372" s="145"/>
      <c r="BH1372" s="145"/>
      <c r="BI1372" s="145"/>
      <c r="BJ1372" s="145"/>
      <c r="BK1372" s="145"/>
    </row>
    <row r="1373" spans="1:63" s="147" customFormat="1" ht="15" x14ac:dyDescent="0.25">
      <c r="A1373" s="47"/>
      <c r="B1373" s="48"/>
      <c r="C1373" s="102" t="s">
        <v>56</v>
      </c>
      <c r="D1373" s="102"/>
      <c r="E1373" s="102"/>
      <c r="F1373" s="102"/>
      <c r="G1373" s="102"/>
      <c r="H1373" s="41"/>
      <c r="I1373" s="42"/>
      <c r="J1373" s="42"/>
      <c r="K1373" s="42"/>
      <c r="L1373" s="45"/>
      <c r="M1373" s="42"/>
      <c r="N1373" s="49"/>
      <c r="O1373" s="42"/>
      <c r="P1373" s="50">
        <v>2188.0360000000001</v>
      </c>
      <c r="Q1373" s="157"/>
      <c r="R1373" s="157"/>
      <c r="S1373" s="82"/>
      <c r="T1373" s="82"/>
      <c r="U1373" s="156"/>
      <c r="V1373" s="82"/>
      <c r="W1373" s="168"/>
      <c r="X1373" s="82"/>
      <c r="Y1373" s="82"/>
      <c r="Z1373" s="82"/>
      <c r="AA1373" s="82"/>
      <c r="AB1373" s="145"/>
      <c r="AC1373" s="145"/>
      <c r="AD1373" s="145"/>
      <c r="AE1373" s="145"/>
      <c r="AF1373" s="145"/>
      <c r="AG1373" s="145"/>
      <c r="AH1373" s="145"/>
      <c r="AI1373" s="145"/>
      <c r="AJ1373" s="145"/>
      <c r="AK1373" s="145"/>
      <c r="AL1373" s="145"/>
      <c r="AM1373" s="145"/>
      <c r="AN1373" s="145"/>
      <c r="AO1373" s="145"/>
      <c r="AP1373" s="145"/>
      <c r="AQ1373" s="145"/>
      <c r="AR1373" s="145"/>
      <c r="AS1373" s="145"/>
      <c r="AT1373" s="145"/>
      <c r="AU1373" s="145"/>
      <c r="AV1373" s="146"/>
      <c r="AW1373" s="146"/>
      <c r="AX1373" s="146"/>
      <c r="AY1373" s="146"/>
      <c r="AZ1373" s="145"/>
      <c r="BA1373" s="146"/>
      <c r="BB1373" s="145"/>
      <c r="BC1373" s="145"/>
      <c r="BD1373" s="145"/>
      <c r="BE1373" s="145"/>
      <c r="BF1373" s="145"/>
      <c r="BG1373" s="145"/>
      <c r="BH1373" s="145"/>
      <c r="BI1373" s="145"/>
      <c r="BJ1373" s="145"/>
      <c r="BK1373" s="145"/>
    </row>
    <row r="1374" spans="1:63" s="147" customFormat="1" ht="15" x14ac:dyDescent="0.25">
      <c r="A1374" s="52"/>
      <c r="B1374" s="53"/>
      <c r="C1374" s="104" t="s">
        <v>57</v>
      </c>
      <c r="D1374" s="104"/>
      <c r="E1374" s="104"/>
      <c r="F1374" s="104"/>
      <c r="G1374" s="104"/>
      <c r="H1374" s="54"/>
      <c r="I1374" s="55"/>
      <c r="J1374" s="55"/>
      <c r="K1374" s="55"/>
      <c r="L1374" s="56"/>
      <c r="M1374" s="55"/>
      <c r="N1374" s="56"/>
      <c r="O1374" s="55"/>
      <c r="P1374" s="77">
        <v>1948.4794999999997</v>
      </c>
      <c r="Q1374" s="82"/>
      <c r="R1374" s="82"/>
      <c r="S1374" s="82"/>
      <c r="T1374" s="82"/>
      <c r="U1374" s="163"/>
      <c r="V1374" s="82"/>
      <c r="W1374" s="151"/>
      <c r="X1374" s="82"/>
      <c r="Y1374" s="82"/>
      <c r="Z1374" s="82"/>
      <c r="AA1374" s="82"/>
      <c r="AB1374" s="145"/>
      <c r="AC1374" s="145"/>
      <c r="AD1374" s="145"/>
      <c r="AE1374" s="145"/>
      <c r="AF1374" s="145"/>
      <c r="AG1374" s="145"/>
      <c r="AH1374" s="145"/>
      <c r="AI1374" s="145"/>
      <c r="AJ1374" s="145"/>
      <c r="AK1374" s="145"/>
      <c r="AL1374" s="145"/>
      <c r="AM1374" s="145"/>
      <c r="AN1374" s="145"/>
      <c r="AO1374" s="145"/>
      <c r="AP1374" s="145"/>
      <c r="AQ1374" s="145"/>
      <c r="AR1374" s="145"/>
      <c r="AS1374" s="145"/>
      <c r="AT1374" s="145"/>
      <c r="AU1374" s="145"/>
      <c r="AV1374" s="146"/>
      <c r="AW1374" s="146"/>
      <c r="AX1374" s="146"/>
      <c r="AY1374" s="146"/>
      <c r="AZ1374" s="145"/>
      <c r="BA1374" s="146"/>
      <c r="BB1374" s="145"/>
      <c r="BC1374" s="145"/>
      <c r="BD1374" s="145"/>
      <c r="BE1374" s="145"/>
      <c r="BF1374" s="145"/>
      <c r="BG1374" s="145"/>
      <c r="BH1374" s="145"/>
      <c r="BI1374" s="145"/>
      <c r="BJ1374" s="145"/>
      <c r="BK1374" s="145"/>
    </row>
    <row r="1375" spans="1:63" s="147" customFormat="1" ht="15" x14ac:dyDescent="0.25">
      <c r="A1375" s="52"/>
      <c r="B1375" s="53" t="s">
        <v>174</v>
      </c>
      <c r="C1375" s="104" t="s">
        <v>175</v>
      </c>
      <c r="D1375" s="104"/>
      <c r="E1375" s="104"/>
      <c r="F1375" s="104"/>
      <c r="G1375" s="104"/>
      <c r="H1375" s="54" t="s">
        <v>60</v>
      </c>
      <c r="I1375" s="58">
        <v>110</v>
      </c>
      <c r="J1375" s="55"/>
      <c r="K1375" s="58">
        <v>110</v>
      </c>
      <c r="L1375" s="56"/>
      <c r="M1375" s="55"/>
      <c r="N1375" s="56"/>
      <c r="O1375" s="55"/>
      <c r="P1375" s="77">
        <v>2143.3239999999996</v>
      </c>
      <c r="Q1375" s="82"/>
      <c r="R1375" s="82"/>
      <c r="S1375" s="82"/>
      <c r="T1375" s="82"/>
      <c r="U1375" s="163"/>
      <c r="V1375" s="82"/>
      <c r="W1375" s="160"/>
      <c r="X1375" s="82"/>
      <c r="Y1375" s="82"/>
      <c r="Z1375" s="82"/>
      <c r="AA1375" s="82"/>
      <c r="AB1375" s="145"/>
      <c r="AC1375" s="145"/>
      <c r="AD1375" s="145"/>
      <c r="AE1375" s="145"/>
      <c r="AF1375" s="145"/>
      <c r="AG1375" s="145"/>
      <c r="AH1375" s="145"/>
      <c r="AI1375" s="145"/>
      <c r="AJ1375" s="145"/>
      <c r="AK1375" s="145"/>
      <c r="AL1375" s="145"/>
      <c r="AM1375" s="145"/>
      <c r="AN1375" s="145"/>
      <c r="AO1375" s="145"/>
      <c r="AP1375" s="145"/>
      <c r="AQ1375" s="145"/>
      <c r="AR1375" s="145"/>
      <c r="AS1375" s="145"/>
      <c r="AT1375" s="145"/>
      <c r="AU1375" s="145"/>
      <c r="AV1375" s="146"/>
      <c r="AW1375" s="146"/>
      <c r="AX1375" s="146"/>
      <c r="AY1375" s="146"/>
      <c r="AZ1375" s="145"/>
      <c r="BA1375" s="146"/>
      <c r="BB1375" s="145"/>
      <c r="BC1375" s="145"/>
      <c r="BD1375" s="145"/>
      <c r="BE1375" s="145"/>
      <c r="BF1375" s="145"/>
      <c r="BG1375" s="145"/>
      <c r="BH1375" s="145"/>
      <c r="BI1375" s="145"/>
      <c r="BJ1375" s="145"/>
      <c r="BK1375" s="145"/>
    </row>
    <row r="1376" spans="1:63" s="147" customFormat="1" ht="15" x14ac:dyDescent="0.25">
      <c r="A1376" s="52"/>
      <c r="B1376" s="53" t="s">
        <v>176</v>
      </c>
      <c r="C1376" s="104" t="s">
        <v>177</v>
      </c>
      <c r="D1376" s="104"/>
      <c r="E1376" s="104"/>
      <c r="F1376" s="104"/>
      <c r="G1376" s="104"/>
      <c r="H1376" s="54" t="s">
        <v>60</v>
      </c>
      <c r="I1376" s="58">
        <v>69</v>
      </c>
      <c r="J1376" s="55"/>
      <c r="K1376" s="58">
        <v>69</v>
      </c>
      <c r="L1376" s="56"/>
      <c r="M1376" s="55"/>
      <c r="N1376" s="56"/>
      <c r="O1376" s="55"/>
      <c r="P1376" s="77">
        <v>1344.4534999999998</v>
      </c>
      <c r="Q1376" s="82"/>
      <c r="R1376" s="82"/>
      <c r="S1376" s="82"/>
      <c r="T1376" s="82"/>
      <c r="U1376" s="163"/>
      <c r="V1376" s="82"/>
      <c r="W1376" s="164"/>
      <c r="X1376" s="82"/>
      <c r="Y1376" s="82"/>
      <c r="Z1376" s="82"/>
      <c r="AA1376" s="82"/>
      <c r="AB1376" s="145"/>
      <c r="AC1376" s="145"/>
      <c r="AD1376" s="145"/>
      <c r="AE1376" s="145"/>
      <c r="AF1376" s="145"/>
      <c r="AG1376" s="145"/>
      <c r="AH1376" s="145"/>
      <c r="AI1376" s="145"/>
      <c r="AJ1376" s="145"/>
      <c r="AK1376" s="145"/>
      <c r="AL1376" s="145"/>
      <c r="AM1376" s="145"/>
      <c r="AN1376" s="145"/>
      <c r="AO1376" s="145"/>
      <c r="AP1376" s="145"/>
      <c r="AQ1376" s="145"/>
      <c r="AR1376" s="145"/>
      <c r="AS1376" s="145"/>
      <c r="AT1376" s="145"/>
      <c r="AU1376" s="145"/>
      <c r="AV1376" s="146"/>
      <c r="AW1376" s="146"/>
      <c r="AX1376" s="146"/>
      <c r="AY1376" s="146"/>
      <c r="AZ1376" s="145"/>
      <c r="BA1376" s="146"/>
      <c r="BB1376" s="145"/>
      <c r="BC1376" s="145"/>
      <c r="BD1376" s="145"/>
      <c r="BE1376" s="145"/>
      <c r="BF1376" s="145"/>
      <c r="BG1376" s="145"/>
      <c r="BH1376" s="145"/>
      <c r="BI1376" s="145"/>
      <c r="BJ1376" s="145"/>
      <c r="BK1376" s="145"/>
    </row>
    <row r="1377" spans="1:63" s="147" customFormat="1" ht="15" x14ac:dyDescent="0.25">
      <c r="A1377" s="59"/>
      <c r="B1377" s="98"/>
      <c r="C1377" s="102" t="s">
        <v>63</v>
      </c>
      <c r="D1377" s="102"/>
      <c r="E1377" s="102"/>
      <c r="F1377" s="102"/>
      <c r="G1377" s="102"/>
      <c r="H1377" s="41"/>
      <c r="I1377" s="42"/>
      <c r="J1377" s="42"/>
      <c r="K1377" s="42"/>
      <c r="L1377" s="45"/>
      <c r="M1377" s="42"/>
      <c r="N1377" s="49">
        <v>5036.21</v>
      </c>
      <c r="O1377" s="42"/>
      <c r="P1377" s="50">
        <v>5675.8134999999993</v>
      </c>
      <c r="Q1377" s="82"/>
      <c r="R1377" s="82"/>
      <c r="S1377" s="82"/>
      <c r="T1377" s="82"/>
      <c r="U1377" s="156"/>
      <c r="V1377" s="82"/>
      <c r="W1377" s="164"/>
      <c r="X1377" s="82"/>
      <c r="Y1377" s="82"/>
      <c r="Z1377" s="82"/>
      <c r="AA1377" s="82"/>
      <c r="AB1377" s="145"/>
      <c r="AC1377" s="145"/>
      <c r="AD1377" s="145"/>
      <c r="AE1377" s="145"/>
      <c r="AF1377" s="145"/>
      <c r="AG1377" s="145"/>
      <c r="AH1377" s="145"/>
      <c r="AI1377" s="145"/>
      <c r="AJ1377" s="145"/>
      <c r="AK1377" s="145"/>
      <c r="AL1377" s="145"/>
      <c r="AM1377" s="145"/>
      <c r="AN1377" s="145"/>
      <c r="AO1377" s="145"/>
      <c r="AP1377" s="145"/>
      <c r="AQ1377" s="145"/>
      <c r="AR1377" s="145"/>
      <c r="AS1377" s="145"/>
      <c r="AT1377" s="145"/>
      <c r="AU1377" s="145"/>
      <c r="AV1377" s="146"/>
      <c r="AW1377" s="146"/>
      <c r="AX1377" s="146"/>
      <c r="AY1377" s="146"/>
      <c r="AZ1377" s="145"/>
      <c r="BA1377" s="146"/>
      <c r="BB1377" s="145"/>
      <c r="BC1377" s="145"/>
      <c r="BD1377" s="145"/>
      <c r="BE1377" s="145"/>
      <c r="BF1377" s="145"/>
      <c r="BG1377" s="145"/>
      <c r="BH1377" s="145"/>
      <c r="BI1377" s="145"/>
      <c r="BJ1377" s="145"/>
      <c r="BK1377" s="145"/>
    </row>
    <row r="1378" spans="1:63" s="147" customFormat="1" ht="15" x14ac:dyDescent="0.25">
      <c r="A1378" s="39" t="s">
        <v>863</v>
      </c>
      <c r="B1378" s="97" t="s">
        <v>179</v>
      </c>
      <c r="C1378" s="103" t="s">
        <v>180</v>
      </c>
      <c r="D1378" s="103"/>
      <c r="E1378" s="103"/>
      <c r="F1378" s="103"/>
      <c r="G1378" s="103"/>
      <c r="H1378" s="41" t="s">
        <v>170</v>
      </c>
      <c r="I1378" s="42">
        <f>I1372</f>
        <v>2.8000000000000001E-2</v>
      </c>
      <c r="J1378" s="43">
        <v>1</v>
      </c>
      <c r="K1378" s="44">
        <f>K1372</f>
        <v>2.8000000000000001E-2</v>
      </c>
      <c r="L1378" s="49">
        <v>5719.62</v>
      </c>
      <c r="M1378" s="62">
        <v>1.25</v>
      </c>
      <c r="N1378" s="49">
        <v>7149.53</v>
      </c>
      <c r="O1378" s="42"/>
      <c r="P1378" s="50">
        <v>7862.8888888888887</v>
      </c>
      <c r="Q1378" s="82"/>
      <c r="R1378" s="82"/>
      <c r="S1378" s="82"/>
      <c r="T1378" s="82"/>
      <c r="U1378" s="156"/>
      <c r="V1378" s="82"/>
      <c r="W1378" s="151"/>
      <c r="X1378" s="82"/>
      <c r="Y1378" s="82"/>
      <c r="Z1378" s="82"/>
      <c r="AA1378" s="82"/>
      <c r="AB1378" s="145"/>
      <c r="AC1378" s="145"/>
      <c r="AD1378" s="145"/>
      <c r="AE1378" s="145"/>
      <c r="AF1378" s="145"/>
      <c r="AG1378" s="145"/>
      <c r="AH1378" s="145"/>
      <c r="AI1378" s="145"/>
      <c r="AJ1378" s="145"/>
      <c r="AK1378" s="145"/>
      <c r="AL1378" s="145"/>
      <c r="AM1378" s="145"/>
      <c r="AN1378" s="145"/>
      <c r="AO1378" s="145"/>
      <c r="AP1378" s="145"/>
      <c r="AQ1378" s="145"/>
      <c r="AR1378" s="145"/>
      <c r="AS1378" s="145"/>
      <c r="AT1378" s="145"/>
      <c r="AU1378" s="145"/>
      <c r="AV1378" s="146"/>
      <c r="AW1378" s="146"/>
      <c r="AX1378" s="146"/>
      <c r="AY1378" s="146"/>
      <c r="AZ1378" s="145"/>
      <c r="BA1378" s="146"/>
      <c r="BB1378" s="145"/>
      <c r="BC1378" s="145"/>
      <c r="BD1378" s="145"/>
      <c r="BE1378" s="145"/>
      <c r="BF1378" s="145"/>
      <c r="BG1378" s="145"/>
      <c r="BH1378" s="145"/>
      <c r="BI1378" s="145"/>
      <c r="BJ1378" s="145"/>
      <c r="BK1378" s="145"/>
    </row>
    <row r="1379" spans="1:63" s="147" customFormat="1" ht="15" x14ac:dyDescent="0.25">
      <c r="A1379" s="59"/>
      <c r="B1379" s="98"/>
      <c r="C1379" s="102" t="s">
        <v>63</v>
      </c>
      <c r="D1379" s="102"/>
      <c r="E1379" s="102"/>
      <c r="F1379" s="102"/>
      <c r="G1379" s="102"/>
      <c r="H1379" s="41"/>
      <c r="I1379" s="42"/>
      <c r="J1379" s="42"/>
      <c r="K1379" s="42"/>
      <c r="L1379" s="45"/>
      <c r="M1379" s="42"/>
      <c r="N1379" s="45"/>
      <c r="O1379" s="42"/>
      <c r="P1379" s="50">
        <v>7862.8888888888887</v>
      </c>
      <c r="Q1379" s="82"/>
      <c r="R1379" s="82"/>
      <c r="S1379" s="82"/>
      <c r="T1379" s="82"/>
      <c r="U1379" s="156"/>
      <c r="V1379" s="82"/>
      <c r="W1379" s="166"/>
      <c r="X1379" s="82"/>
      <c r="Y1379" s="82"/>
      <c r="Z1379" s="82"/>
      <c r="AA1379" s="82"/>
      <c r="AB1379" s="145"/>
      <c r="AC1379" s="145"/>
      <c r="AD1379" s="145"/>
      <c r="AE1379" s="145"/>
      <c r="AF1379" s="145"/>
      <c r="AG1379" s="145"/>
      <c r="AH1379" s="145"/>
      <c r="AI1379" s="145"/>
      <c r="AJ1379" s="145"/>
      <c r="AK1379" s="145"/>
      <c r="AL1379" s="145"/>
      <c r="AM1379" s="145"/>
      <c r="AN1379" s="145"/>
      <c r="AO1379" s="145"/>
      <c r="AP1379" s="145"/>
      <c r="AQ1379" s="145"/>
      <c r="AR1379" s="145"/>
      <c r="AS1379" s="145"/>
      <c r="AT1379" s="145"/>
      <c r="AU1379" s="145"/>
      <c r="AV1379" s="146"/>
      <c r="AW1379" s="146"/>
      <c r="AX1379" s="146"/>
      <c r="AY1379" s="146"/>
      <c r="AZ1379" s="145"/>
      <c r="BA1379" s="146"/>
      <c r="BB1379" s="145"/>
      <c r="BC1379" s="145"/>
      <c r="BD1379" s="145"/>
      <c r="BE1379" s="145"/>
      <c r="BF1379" s="145"/>
      <c r="BG1379" s="145"/>
      <c r="BH1379" s="145"/>
      <c r="BI1379" s="145"/>
      <c r="BJ1379" s="145"/>
      <c r="BK1379" s="145"/>
    </row>
    <row r="1380" spans="1:63" s="147" customFormat="1" ht="15" x14ac:dyDescent="0.25">
      <c r="A1380" s="39" t="s">
        <v>864</v>
      </c>
      <c r="B1380" s="97" t="s">
        <v>182</v>
      </c>
      <c r="C1380" s="103" t="s">
        <v>183</v>
      </c>
      <c r="D1380" s="103"/>
      <c r="E1380" s="103"/>
      <c r="F1380" s="103"/>
      <c r="G1380" s="103"/>
      <c r="H1380" s="41" t="s">
        <v>71</v>
      </c>
      <c r="I1380" s="42">
        <v>2.7900600000000001E-2</v>
      </c>
      <c r="J1380" s="43">
        <v>1</v>
      </c>
      <c r="K1380" s="64">
        <v>2.7900600000000001E-2</v>
      </c>
      <c r="L1380" s="49">
        <v>39438.35</v>
      </c>
      <c r="M1380" s="62">
        <v>1.37</v>
      </c>
      <c r="N1380" s="49">
        <v>54030.54</v>
      </c>
      <c r="O1380" s="42"/>
      <c r="P1380" s="50">
        <v>1733.6019999999999</v>
      </c>
      <c r="Q1380" s="82"/>
      <c r="R1380" s="82"/>
      <c r="S1380" s="82"/>
      <c r="T1380" s="82"/>
      <c r="U1380" s="156"/>
      <c r="V1380" s="82"/>
      <c r="W1380" s="151"/>
      <c r="X1380" s="82"/>
      <c r="Y1380" s="82"/>
      <c r="Z1380" s="82"/>
      <c r="AA1380" s="82"/>
      <c r="AB1380" s="145"/>
      <c r="AC1380" s="145"/>
      <c r="AD1380" s="145"/>
      <c r="AE1380" s="145"/>
      <c r="AF1380" s="145"/>
      <c r="AG1380" s="145"/>
      <c r="AH1380" s="145"/>
      <c r="AI1380" s="145"/>
      <c r="AJ1380" s="145"/>
      <c r="AK1380" s="145"/>
      <c r="AL1380" s="145"/>
      <c r="AM1380" s="145"/>
      <c r="AN1380" s="145"/>
      <c r="AO1380" s="145"/>
      <c r="AP1380" s="145"/>
      <c r="AQ1380" s="145"/>
      <c r="AR1380" s="145"/>
      <c r="AS1380" s="145"/>
      <c r="AT1380" s="145"/>
      <c r="AU1380" s="145"/>
      <c r="AV1380" s="146"/>
      <c r="AW1380" s="146"/>
      <c r="AX1380" s="146"/>
      <c r="AY1380" s="146"/>
      <c r="AZ1380" s="145"/>
      <c r="BA1380" s="146"/>
      <c r="BB1380" s="145"/>
      <c r="BC1380" s="145"/>
      <c r="BD1380" s="145"/>
      <c r="BE1380" s="145"/>
      <c r="BF1380" s="145"/>
      <c r="BG1380" s="145"/>
      <c r="BH1380" s="145"/>
      <c r="BI1380" s="145"/>
      <c r="BJ1380" s="145"/>
      <c r="BK1380" s="145"/>
    </row>
    <row r="1381" spans="1:63" s="147" customFormat="1" ht="15" x14ac:dyDescent="0.25">
      <c r="A1381" s="59"/>
      <c r="B1381" s="98"/>
      <c r="C1381" s="102" t="s">
        <v>63</v>
      </c>
      <c r="D1381" s="102"/>
      <c r="E1381" s="102"/>
      <c r="F1381" s="102"/>
      <c r="G1381" s="102"/>
      <c r="H1381" s="41"/>
      <c r="I1381" s="42"/>
      <c r="J1381" s="42"/>
      <c r="K1381" s="42"/>
      <c r="L1381" s="45"/>
      <c r="M1381" s="42"/>
      <c r="N1381" s="45"/>
      <c r="O1381" s="42"/>
      <c r="P1381" s="50">
        <v>1733.6019999999999</v>
      </c>
      <c r="Q1381" s="82"/>
      <c r="R1381" s="82"/>
      <c r="S1381" s="82"/>
      <c r="T1381" s="82"/>
      <c r="U1381" s="156"/>
      <c r="V1381" s="82"/>
      <c r="W1381" s="169"/>
      <c r="X1381" s="82"/>
      <c r="Y1381" s="82"/>
      <c r="Z1381" s="82"/>
      <c r="AA1381" s="82"/>
      <c r="AB1381" s="145"/>
      <c r="AC1381" s="145"/>
      <c r="AD1381" s="145"/>
      <c r="AE1381" s="145"/>
      <c r="AF1381" s="145"/>
      <c r="AG1381" s="145"/>
      <c r="AH1381" s="145"/>
      <c r="AI1381" s="145"/>
      <c r="AJ1381" s="145"/>
      <c r="AK1381" s="145"/>
      <c r="AL1381" s="145"/>
      <c r="AM1381" s="145"/>
      <c r="AN1381" s="145"/>
      <c r="AO1381" s="145"/>
      <c r="AP1381" s="145"/>
      <c r="AQ1381" s="145"/>
      <c r="AR1381" s="145"/>
      <c r="AS1381" s="145"/>
      <c r="AT1381" s="145"/>
      <c r="AU1381" s="145"/>
      <c r="AV1381" s="146"/>
      <c r="AW1381" s="146"/>
      <c r="AX1381" s="146"/>
      <c r="AY1381" s="146"/>
      <c r="AZ1381" s="145"/>
      <c r="BA1381" s="146"/>
      <c r="BB1381" s="145"/>
      <c r="BC1381" s="145"/>
      <c r="BD1381" s="145"/>
      <c r="BE1381" s="145"/>
      <c r="BF1381" s="145"/>
      <c r="BG1381" s="145"/>
      <c r="BH1381" s="145"/>
      <c r="BI1381" s="145"/>
      <c r="BJ1381" s="145"/>
      <c r="BK1381" s="145"/>
    </row>
    <row r="1382" spans="1:63" s="147" customFormat="1" ht="15" x14ac:dyDescent="0.25">
      <c r="A1382" s="39" t="s">
        <v>865</v>
      </c>
      <c r="B1382" s="97" t="s">
        <v>185</v>
      </c>
      <c r="C1382" s="103" t="s">
        <v>186</v>
      </c>
      <c r="D1382" s="103"/>
      <c r="E1382" s="103"/>
      <c r="F1382" s="103"/>
      <c r="G1382" s="103"/>
      <c r="H1382" s="41" t="s">
        <v>55</v>
      </c>
      <c r="I1382" s="42">
        <v>0.1053</v>
      </c>
      <c r="J1382" s="43">
        <v>1</v>
      </c>
      <c r="K1382" s="44">
        <v>0.1053</v>
      </c>
      <c r="L1382" s="45"/>
      <c r="M1382" s="42"/>
      <c r="N1382" s="45"/>
      <c r="O1382" s="42"/>
      <c r="P1382" s="50"/>
      <c r="Q1382" s="82"/>
      <c r="R1382" s="82"/>
      <c r="S1382" s="82"/>
      <c r="T1382" s="82"/>
      <c r="U1382" s="153"/>
      <c r="V1382" s="82"/>
      <c r="W1382" s="151"/>
      <c r="X1382" s="82"/>
      <c r="Y1382" s="82"/>
      <c r="Z1382" s="82"/>
      <c r="AA1382" s="82"/>
      <c r="AB1382" s="145"/>
      <c r="AC1382" s="145"/>
      <c r="AD1382" s="145"/>
      <c r="AE1382" s="145"/>
      <c r="AF1382" s="145"/>
      <c r="AG1382" s="145"/>
      <c r="AH1382" s="145"/>
      <c r="AI1382" s="145"/>
      <c r="AJ1382" s="145"/>
      <c r="AK1382" s="145"/>
      <c r="AL1382" s="145"/>
      <c r="AM1382" s="145"/>
      <c r="AN1382" s="145"/>
      <c r="AO1382" s="145"/>
      <c r="AP1382" s="145"/>
      <c r="AQ1382" s="145"/>
      <c r="AR1382" s="145"/>
      <c r="AS1382" s="145"/>
      <c r="AT1382" s="145"/>
      <c r="AU1382" s="145"/>
      <c r="AV1382" s="146"/>
      <c r="AW1382" s="146"/>
      <c r="AX1382" s="146"/>
      <c r="AY1382" s="146"/>
      <c r="AZ1382" s="145"/>
      <c r="BA1382" s="146"/>
      <c r="BB1382" s="145"/>
      <c r="BC1382" s="145"/>
      <c r="BD1382" s="145"/>
      <c r="BE1382" s="145"/>
      <c r="BF1382" s="145"/>
      <c r="BG1382" s="145"/>
      <c r="BH1382" s="145"/>
      <c r="BI1382" s="145"/>
      <c r="BJ1382" s="145"/>
      <c r="BK1382" s="145"/>
    </row>
    <row r="1383" spans="1:63" s="147" customFormat="1" ht="15" x14ac:dyDescent="0.25">
      <c r="A1383" s="47"/>
      <c r="B1383" s="48"/>
      <c r="C1383" s="102" t="s">
        <v>56</v>
      </c>
      <c r="D1383" s="102"/>
      <c r="E1383" s="102"/>
      <c r="F1383" s="102"/>
      <c r="G1383" s="102"/>
      <c r="H1383" s="41"/>
      <c r="I1383" s="42"/>
      <c r="J1383" s="42"/>
      <c r="K1383" s="42"/>
      <c r="L1383" s="45"/>
      <c r="M1383" s="42"/>
      <c r="N1383" s="49"/>
      <c r="O1383" s="42"/>
      <c r="P1383" s="50">
        <v>1740.1569999999999</v>
      </c>
      <c r="Q1383" s="157"/>
      <c r="R1383" s="157"/>
      <c r="S1383" s="82"/>
      <c r="T1383" s="82"/>
      <c r="U1383" s="156"/>
      <c r="V1383" s="82"/>
      <c r="W1383" s="166"/>
      <c r="X1383" s="82"/>
      <c r="Y1383" s="82"/>
      <c r="Z1383" s="82"/>
      <c r="AA1383" s="82"/>
      <c r="AB1383" s="145"/>
      <c r="AC1383" s="145"/>
      <c r="AD1383" s="145"/>
      <c r="AE1383" s="145"/>
      <c r="AF1383" s="145"/>
      <c r="AG1383" s="145"/>
      <c r="AH1383" s="145"/>
      <c r="AI1383" s="145"/>
      <c r="AJ1383" s="145"/>
      <c r="AK1383" s="145"/>
      <c r="AL1383" s="145"/>
      <c r="AM1383" s="145"/>
      <c r="AN1383" s="145"/>
      <c r="AO1383" s="145"/>
      <c r="AP1383" s="145"/>
      <c r="AQ1383" s="145"/>
      <c r="AR1383" s="145"/>
      <c r="AS1383" s="145"/>
      <c r="AT1383" s="145"/>
      <c r="AU1383" s="145"/>
      <c r="AV1383" s="146"/>
      <c r="AW1383" s="146"/>
      <c r="AX1383" s="146"/>
      <c r="AY1383" s="146"/>
      <c r="AZ1383" s="145"/>
      <c r="BA1383" s="146"/>
      <c r="BB1383" s="145"/>
      <c r="BC1383" s="145"/>
      <c r="BD1383" s="145"/>
      <c r="BE1383" s="145"/>
      <c r="BF1383" s="145"/>
      <c r="BG1383" s="145"/>
      <c r="BH1383" s="145"/>
      <c r="BI1383" s="145"/>
      <c r="BJ1383" s="145"/>
      <c r="BK1383" s="145"/>
    </row>
    <row r="1384" spans="1:63" s="147" customFormat="1" ht="15" x14ac:dyDescent="0.25">
      <c r="A1384" s="52"/>
      <c r="B1384" s="53"/>
      <c r="C1384" s="104" t="s">
        <v>57</v>
      </c>
      <c r="D1384" s="104"/>
      <c r="E1384" s="104"/>
      <c r="F1384" s="104"/>
      <c r="G1384" s="104"/>
      <c r="H1384" s="54"/>
      <c r="I1384" s="55"/>
      <c r="J1384" s="55"/>
      <c r="K1384" s="55"/>
      <c r="L1384" s="56"/>
      <c r="M1384" s="55"/>
      <c r="N1384" s="56"/>
      <c r="O1384" s="55"/>
      <c r="P1384" s="77">
        <v>1709.4749999999999</v>
      </c>
      <c r="Q1384" s="82"/>
      <c r="R1384" s="82"/>
      <c r="S1384" s="82"/>
      <c r="T1384" s="82"/>
      <c r="U1384" s="163"/>
      <c r="V1384" s="82"/>
      <c r="W1384" s="151"/>
      <c r="X1384" s="82"/>
      <c r="Y1384" s="82"/>
      <c r="Z1384" s="82"/>
      <c r="AA1384" s="82"/>
      <c r="AB1384" s="145"/>
      <c r="AC1384" s="145"/>
      <c r="AD1384" s="145"/>
      <c r="AE1384" s="145"/>
      <c r="AF1384" s="145"/>
      <c r="AG1384" s="145"/>
      <c r="AH1384" s="145"/>
      <c r="AI1384" s="145"/>
      <c r="AJ1384" s="145"/>
      <c r="AK1384" s="145"/>
      <c r="AL1384" s="145"/>
      <c r="AM1384" s="145"/>
      <c r="AN1384" s="145"/>
      <c r="AO1384" s="145"/>
      <c r="AP1384" s="145"/>
      <c r="AQ1384" s="145"/>
      <c r="AR1384" s="145"/>
      <c r="AS1384" s="145"/>
      <c r="AT1384" s="145"/>
      <c r="AU1384" s="145"/>
      <c r="AV1384" s="146"/>
      <c r="AW1384" s="146"/>
      <c r="AX1384" s="146"/>
      <c r="AY1384" s="146"/>
      <c r="AZ1384" s="145"/>
      <c r="BA1384" s="146"/>
      <c r="BB1384" s="145"/>
      <c r="BC1384" s="145"/>
      <c r="BD1384" s="145"/>
      <c r="BE1384" s="145"/>
      <c r="BF1384" s="145"/>
      <c r="BG1384" s="145"/>
      <c r="BH1384" s="145"/>
      <c r="BI1384" s="145"/>
      <c r="BJ1384" s="145"/>
      <c r="BK1384" s="145"/>
    </row>
    <row r="1385" spans="1:63" s="147" customFormat="1" ht="15" x14ac:dyDescent="0.25">
      <c r="A1385" s="52"/>
      <c r="B1385" s="53" t="s">
        <v>187</v>
      </c>
      <c r="C1385" s="104" t="s">
        <v>188</v>
      </c>
      <c r="D1385" s="104"/>
      <c r="E1385" s="104"/>
      <c r="F1385" s="104"/>
      <c r="G1385" s="104"/>
      <c r="H1385" s="54" t="s">
        <v>60</v>
      </c>
      <c r="I1385" s="58">
        <v>112</v>
      </c>
      <c r="J1385" s="55"/>
      <c r="K1385" s="58">
        <v>112</v>
      </c>
      <c r="L1385" s="56"/>
      <c r="M1385" s="55"/>
      <c r="N1385" s="56"/>
      <c r="O1385" s="55"/>
      <c r="P1385" s="77">
        <v>1914.6120000000001</v>
      </c>
      <c r="Q1385" s="82"/>
      <c r="R1385" s="82"/>
      <c r="S1385" s="82"/>
      <c r="T1385" s="82"/>
      <c r="U1385" s="163"/>
      <c r="V1385" s="82"/>
      <c r="W1385" s="160"/>
      <c r="X1385" s="82"/>
      <c r="Y1385" s="82"/>
      <c r="Z1385" s="82"/>
      <c r="AA1385" s="82"/>
      <c r="AB1385" s="145"/>
      <c r="AC1385" s="145"/>
      <c r="AD1385" s="145"/>
      <c r="AE1385" s="145"/>
      <c r="AF1385" s="145"/>
      <c r="AG1385" s="145"/>
      <c r="AH1385" s="145"/>
      <c r="AI1385" s="145"/>
      <c r="AJ1385" s="145"/>
      <c r="AK1385" s="145"/>
      <c r="AL1385" s="145"/>
      <c r="AM1385" s="145"/>
      <c r="AN1385" s="145"/>
      <c r="AO1385" s="145"/>
      <c r="AP1385" s="145"/>
      <c r="AQ1385" s="145"/>
      <c r="AR1385" s="145"/>
      <c r="AS1385" s="145"/>
      <c r="AT1385" s="145"/>
      <c r="AU1385" s="145"/>
      <c r="AV1385" s="146"/>
      <c r="AW1385" s="146"/>
      <c r="AX1385" s="146"/>
      <c r="AY1385" s="146"/>
      <c r="AZ1385" s="145"/>
      <c r="BA1385" s="146"/>
      <c r="BB1385" s="145"/>
      <c r="BC1385" s="145"/>
      <c r="BD1385" s="145"/>
      <c r="BE1385" s="145"/>
      <c r="BF1385" s="145"/>
      <c r="BG1385" s="145"/>
      <c r="BH1385" s="145"/>
      <c r="BI1385" s="145"/>
      <c r="BJ1385" s="145"/>
      <c r="BK1385" s="145"/>
    </row>
    <row r="1386" spans="1:63" s="147" customFormat="1" ht="15" x14ac:dyDescent="0.25">
      <c r="A1386" s="52"/>
      <c r="B1386" s="53" t="s">
        <v>189</v>
      </c>
      <c r="C1386" s="104" t="s">
        <v>190</v>
      </c>
      <c r="D1386" s="104"/>
      <c r="E1386" s="104"/>
      <c r="F1386" s="104"/>
      <c r="G1386" s="104"/>
      <c r="H1386" s="54" t="s">
        <v>60</v>
      </c>
      <c r="I1386" s="58">
        <v>65</v>
      </c>
      <c r="J1386" s="55"/>
      <c r="K1386" s="58">
        <v>65</v>
      </c>
      <c r="L1386" s="56"/>
      <c r="M1386" s="55"/>
      <c r="N1386" s="56"/>
      <c r="O1386" s="55"/>
      <c r="P1386" s="77">
        <v>1111.1644999999999</v>
      </c>
      <c r="Q1386" s="82"/>
      <c r="R1386" s="82"/>
      <c r="S1386" s="82"/>
      <c r="T1386" s="82"/>
      <c r="U1386" s="170"/>
      <c r="V1386" s="82"/>
      <c r="W1386" s="164"/>
      <c r="X1386" s="82"/>
      <c r="Y1386" s="82"/>
      <c r="Z1386" s="82"/>
      <c r="AA1386" s="82"/>
      <c r="AB1386" s="145"/>
      <c r="AC1386" s="145"/>
      <c r="AD1386" s="145"/>
      <c r="AE1386" s="145"/>
      <c r="AF1386" s="145"/>
      <c r="AG1386" s="145"/>
      <c r="AH1386" s="145"/>
      <c r="AI1386" s="145"/>
      <c r="AJ1386" s="145"/>
      <c r="AK1386" s="145"/>
      <c r="AL1386" s="145"/>
      <c r="AM1386" s="145"/>
      <c r="AN1386" s="145"/>
      <c r="AO1386" s="145"/>
      <c r="AP1386" s="145"/>
      <c r="AQ1386" s="145"/>
      <c r="AR1386" s="145"/>
      <c r="AS1386" s="145"/>
      <c r="AT1386" s="145"/>
      <c r="AU1386" s="145"/>
      <c r="AV1386" s="146"/>
      <c r="AW1386" s="146"/>
      <c r="AX1386" s="146"/>
      <c r="AY1386" s="146"/>
      <c r="AZ1386" s="145"/>
      <c r="BA1386" s="146"/>
      <c r="BB1386" s="145"/>
      <c r="BC1386" s="145"/>
      <c r="BD1386" s="145"/>
      <c r="BE1386" s="145"/>
      <c r="BF1386" s="145"/>
      <c r="BG1386" s="145"/>
      <c r="BH1386" s="145"/>
      <c r="BI1386" s="145"/>
      <c r="BJ1386" s="145"/>
      <c r="BK1386" s="145"/>
    </row>
    <row r="1387" spans="1:63" s="147" customFormat="1" ht="15" x14ac:dyDescent="0.25">
      <c r="A1387" s="59"/>
      <c r="B1387" s="98"/>
      <c r="C1387" s="102" t="s">
        <v>63</v>
      </c>
      <c r="D1387" s="102"/>
      <c r="E1387" s="102"/>
      <c r="F1387" s="102"/>
      <c r="G1387" s="102"/>
      <c r="H1387" s="41"/>
      <c r="I1387" s="42"/>
      <c r="J1387" s="42"/>
      <c r="K1387" s="42"/>
      <c r="L1387" s="45"/>
      <c r="M1387" s="42"/>
      <c r="N1387" s="49">
        <v>35330.69</v>
      </c>
      <c r="O1387" s="42"/>
      <c r="P1387" s="50">
        <v>4765.9334999999992</v>
      </c>
      <c r="Q1387" s="82"/>
      <c r="R1387" s="82"/>
      <c r="S1387" s="82"/>
      <c r="T1387" s="82"/>
      <c r="U1387" s="156"/>
      <c r="V1387" s="82"/>
      <c r="W1387" s="164"/>
      <c r="X1387" s="82"/>
      <c r="Y1387" s="82"/>
      <c r="Z1387" s="82"/>
      <c r="AA1387" s="82"/>
      <c r="AB1387" s="145"/>
      <c r="AC1387" s="145"/>
      <c r="AD1387" s="145"/>
      <c r="AE1387" s="145"/>
      <c r="AF1387" s="145"/>
      <c r="AG1387" s="145"/>
      <c r="AH1387" s="145"/>
      <c r="AI1387" s="145"/>
      <c r="AJ1387" s="145"/>
      <c r="AK1387" s="145"/>
      <c r="AL1387" s="145"/>
      <c r="AM1387" s="145"/>
      <c r="AN1387" s="145"/>
      <c r="AO1387" s="145"/>
      <c r="AP1387" s="145"/>
      <c r="AQ1387" s="145"/>
      <c r="AR1387" s="145"/>
      <c r="AS1387" s="145"/>
      <c r="AT1387" s="145"/>
      <c r="AU1387" s="145"/>
      <c r="AV1387" s="146"/>
      <c r="AW1387" s="146"/>
      <c r="AX1387" s="146"/>
      <c r="AY1387" s="146"/>
      <c r="AZ1387" s="145"/>
      <c r="BA1387" s="146"/>
      <c r="BB1387" s="145"/>
      <c r="BC1387" s="145"/>
      <c r="BD1387" s="145"/>
      <c r="BE1387" s="145"/>
      <c r="BF1387" s="145"/>
      <c r="BG1387" s="145"/>
      <c r="BH1387" s="145"/>
      <c r="BI1387" s="145"/>
      <c r="BJ1387" s="145"/>
      <c r="BK1387" s="145"/>
    </row>
    <row r="1388" spans="1:63" s="147" customFormat="1" ht="15" x14ac:dyDescent="0.25">
      <c r="A1388" s="39" t="s">
        <v>866</v>
      </c>
      <c r="B1388" s="97" t="s">
        <v>192</v>
      </c>
      <c r="C1388" s="103" t="s">
        <v>193</v>
      </c>
      <c r="D1388" s="103"/>
      <c r="E1388" s="103"/>
      <c r="F1388" s="103"/>
      <c r="G1388" s="103"/>
      <c r="H1388" s="41" t="s">
        <v>170</v>
      </c>
      <c r="I1388" s="42">
        <v>0.239292</v>
      </c>
      <c r="J1388" s="43">
        <v>1</v>
      </c>
      <c r="K1388" s="68">
        <v>0.239292</v>
      </c>
      <c r="L1388" s="45"/>
      <c r="M1388" s="42"/>
      <c r="N1388" s="49">
        <v>6212.75</v>
      </c>
      <c r="O1388" s="42"/>
      <c r="P1388" s="50">
        <v>1709.6589999999999</v>
      </c>
      <c r="Q1388" s="82"/>
      <c r="R1388" s="82"/>
      <c r="S1388" s="82"/>
      <c r="T1388" s="82"/>
      <c r="U1388" s="156"/>
      <c r="V1388" s="82"/>
      <c r="W1388" s="151"/>
      <c r="X1388" s="82"/>
      <c r="Y1388" s="82"/>
      <c r="Z1388" s="82"/>
      <c r="AA1388" s="82"/>
      <c r="AB1388" s="145"/>
      <c r="AC1388" s="145"/>
      <c r="AD1388" s="145"/>
      <c r="AE1388" s="145"/>
      <c r="AF1388" s="145"/>
      <c r="AG1388" s="145"/>
      <c r="AH1388" s="145"/>
      <c r="AI1388" s="145"/>
      <c r="AJ1388" s="145"/>
      <c r="AK1388" s="145"/>
      <c r="AL1388" s="145"/>
      <c r="AM1388" s="145"/>
      <c r="AN1388" s="145"/>
      <c r="AO1388" s="145"/>
      <c r="AP1388" s="145"/>
      <c r="AQ1388" s="145"/>
      <c r="AR1388" s="145"/>
      <c r="AS1388" s="145"/>
      <c r="AT1388" s="145"/>
      <c r="AU1388" s="145"/>
      <c r="AV1388" s="146"/>
      <c r="AW1388" s="146"/>
      <c r="AX1388" s="146"/>
      <c r="AY1388" s="146"/>
      <c r="AZ1388" s="145"/>
      <c r="BA1388" s="146"/>
      <c r="BB1388" s="145"/>
      <c r="BC1388" s="145"/>
      <c r="BD1388" s="145"/>
      <c r="BE1388" s="145"/>
      <c r="BF1388" s="145"/>
      <c r="BG1388" s="145"/>
      <c r="BH1388" s="145"/>
      <c r="BI1388" s="145"/>
      <c r="BJ1388" s="145"/>
      <c r="BK1388" s="145"/>
    </row>
    <row r="1389" spans="1:63" s="147" customFormat="1" ht="15" x14ac:dyDescent="0.25">
      <c r="A1389" s="59"/>
      <c r="B1389" s="98"/>
      <c r="C1389" s="102" t="s">
        <v>63</v>
      </c>
      <c r="D1389" s="102"/>
      <c r="E1389" s="102"/>
      <c r="F1389" s="102"/>
      <c r="G1389" s="102"/>
      <c r="H1389" s="41"/>
      <c r="I1389" s="42"/>
      <c r="J1389" s="42"/>
      <c r="K1389" s="42"/>
      <c r="L1389" s="45"/>
      <c r="M1389" s="42"/>
      <c r="N1389" s="45"/>
      <c r="O1389" s="42"/>
      <c r="P1389" s="50">
        <v>1709.6589999999999</v>
      </c>
      <c r="Q1389" s="82"/>
      <c r="R1389" s="82"/>
      <c r="S1389" s="82"/>
      <c r="T1389" s="82"/>
      <c r="U1389" s="156"/>
      <c r="V1389" s="82"/>
      <c r="W1389" s="176"/>
      <c r="X1389" s="82"/>
      <c r="Y1389" s="82"/>
      <c r="Z1389" s="82"/>
      <c r="AA1389" s="82"/>
      <c r="AB1389" s="145"/>
      <c r="AC1389" s="145"/>
      <c r="AD1389" s="145"/>
      <c r="AE1389" s="145"/>
      <c r="AF1389" s="145"/>
      <c r="AG1389" s="145"/>
      <c r="AH1389" s="145"/>
      <c r="AI1389" s="145"/>
      <c r="AJ1389" s="145"/>
      <c r="AK1389" s="145"/>
      <c r="AL1389" s="145"/>
      <c r="AM1389" s="145"/>
      <c r="AN1389" s="145"/>
      <c r="AO1389" s="145"/>
      <c r="AP1389" s="145"/>
      <c r="AQ1389" s="145"/>
      <c r="AR1389" s="145"/>
      <c r="AS1389" s="145"/>
      <c r="AT1389" s="145"/>
      <c r="AU1389" s="145"/>
      <c r="AV1389" s="146"/>
      <c r="AW1389" s="146"/>
      <c r="AX1389" s="146"/>
      <c r="AY1389" s="146"/>
      <c r="AZ1389" s="145"/>
      <c r="BA1389" s="146"/>
      <c r="BB1389" s="145"/>
      <c r="BC1389" s="145"/>
      <c r="BD1389" s="145"/>
      <c r="BE1389" s="145"/>
      <c r="BF1389" s="145"/>
      <c r="BG1389" s="145"/>
      <c r="BH1389" s="145"/>
      <c r="BI1389" s="145"/>
      <c r="BJ1389" s="145"/>
      <c r="BK1389" s="145"/>
    </row>
    <row r="1390" spans="1:63" s="147" customFormat="1" ht="15" x14ac:dyDescent="0.25">
      <c r="A1390" s="39" t="s">
        <v>867</v>
      </c>
      <c r="B1390" s="97" t="s">
        <v>195</v>
      </c>
      <c r="C1390" s="103" t="s">
        <v>196</v>
      </c>
      <c r="D1390" s="103"/>
      <c r="E1390" s="103"/>
      <c r="F1390" s="103"/>
      <c r="G1390" s="103"/>
      <c r="H1390" s="41" t="s">
        <v>55</v>
      </c>
      <c r="I1390" s="42">
        <v>0.1053</v>
      </c>
      <c r="J1390" s="43">
        <v>1</v>
      </c>
      <c r="K1390" s="44">
        <v>0.1053</v>
      </c>
      <c r="L1390" s="45"/>
      <c r="M1390" s="42"/>
      <c r="N1390" s="45"/>
      <c r="O1390" s="42"/>
      <c r="P1390" s="50"/>
      <c r="Q1390" s="82"/>
      <c r="R1390" s="82"/>
      <c r="S1390" s="82"/>
      <c r="T1390" s="82"/>
      <c r="U1390" s="153"/>
      <c r="V1390" s="82"/>
      <c r="W1390" s="151"/>
      <c r="X1390" s="82"/>
      <c r="Y1390" s="82"/>
      <c r="Z1390" s="82"/>
      <c r="AA1390" s="82"/>
      <c r="AB1390" s="145"/>
      <c r="AC1390" s="145"/>
      <c r="AD1390" s="145"/>
      <c r="AE1390" s="145"/>
      <c r="AF1390" s="145"/>
      <c r="AG1390" s="145"/>
      <c r="AH1390" s="145"/>
      <c r="AI1390" s="145"/>
      <c r="AJ1390" s="145"/>
      <c r="AK1390" s="145"/>
      <c r="AL1390" s="145"/>
      <c r="AM1390" s="145"/>
      <c r="AN1390" s="145"/>
      <c r="AO1390" s="145"/>
      <c r="AP1390" s="145"/>
      <c r="AQ1390" s="145"/>
      <c r="AR1390" s="145"/>
      <c r="AS1390" s="145"/>
      <c r="AT1390" s="145"/>
      <c r="AU1390" s="145"/>
      <c r="AV1390" s="146"/>
      <c r="AW1390" s="146"/>
      <c r="AX1390" s="146"/>
      <c r="AY1390" s="146"/>
      <c r="AZ1390" s="145"/>
      <c r="BA1390" s="146"/>
      <c r="BB1390" s="145"/>
      <c r="BC1390" s="145"/>
      <c r="BD1390" s="145"/>
      <c r="BE1390" s="145"/>
      <c r="BF1390" s="145"/>
      <c r="BG1390" s="145"/>
      <c r="BH1390" s="145"/>
      <c r="BI1390" s="145"/>
      <c r="BJ1390" s="145"/>
      <c r="BK1390" s="145"/>
    </row>
    <row r="1391" spans="1:63" s="147" customFormat="1" ht="15" x14ac:dyDescent="0.25">
      <c r="A1391" s="47"/>
      <c r="B1391" s="48"/>
      <c r="C1391" s="102" t="s">
        <v>56</v>
      </c>
      <c r="D1391" s="102"/>
      <c r="E1391" s="102"/>
      <c r="F1391" s="102"/>
      <c r="G1391" s="102"/>
      <c r="H1391" s="41"/>
      <c r="I1391" s="42"/>
      <c r="J1391" s="42"/>
      <c r="K1391" s="42"/>
      <c r="L1391" s="45"/>
      <c r="M1391" s="42"/>
      <c r="N1391" s="49"/>
      <c r="O1391" s="42"/>
      <c r="P1391" s="90">
        <v>206.03399999999999</v>
      </c>
      <c r="Q1391" s="157"/>
      <c r="R1391" s="157"/>
      <c r="S1391" s="82"/>
      <c r="T1391" s="82"/>
      <c r="U1391" s="156"/>
      <c r="V1391" s="82"/>
      <c r="W1391" s="166"/>
      <c r="X1391" s="82"/>
      <c r="Y1391" s="82"/>
      <c r="Z1391" s="82"/>
      <c r="AA1391" s="82"/>
      <c r="AB1391" s="145"/>
      <c r="AC1391" s="145"/>
      <c r="AD1391" s="145"/>
      <c r="AE1391" s="145"/>
      <c r="AF1391" s="145"/>
      <c r="AG1391" s="145"/>
      <c r="AH1391" s="145"/>
      <c r="AI1391" s="145"/>
      <c r="AJ1391" s="145"/>
      <c r="AK1391" s="145"/>
      <c r="AL1391" s="145"/>
      <c r="AM1391" s="145"/>
      <c r="AN1391" s="145"/>
      <c r="AO1391" s="145"/>
      <c r="AP1391" s="145"/>
      <c r="AQ1391" s="145"/>
      <c r="AR1391" s="145"/>
      <c r="AS1391" s="145"/>
      <c r="AT1391" s="145"/>
      <c r="AU1391" s="145"/>
      <c r="AV1391" s="146"/>
      <c r="AW1391" s="146"/>
      <c r="AX1391" s="146"/>
      <c r="AY1391" s="146"/>
      <c r="AZ1391" s="145"/>
      <c r="BA1391" s="146"/>
      <c r="BB1391" s="145"/>
      <c r="BC1391" s="145"/>
      <c r="BD1391" s="145"/>
      <c r="BE1391" s="145"/>
      <c r="BF1391" s="145"/>
      <c r="BG1391" s="145"/>
      <c r="BH1391" s="145"/>
      <c r="BI1391" s="145"/>
      <c r="BJ1391" s="145"/>
      <c r="BK1391" s="145"/>
    </row>
    <row r="1392" spans="1:63" s="147" customFormat="1" ht="15" x14ac:dyDescent="0.25">
      <c r="A1392" s="52"/>
      <c r="B1392" s="53"/>
      <c r="C1392" s="104" t="s">
        <v>57</v>
      </c>
      <c r="D1392" s="104"/>
      <c r="E1392" s="104"/>
      <c r="F1392" s="104"/>
      <c r="G1392" s="104"/>
      <c r="H1392" s="54"/>
      <c r="I1392" s="55"/>
      <c r="J1392" s="55"/>
      <c r="K1392" s="55"/>
      <c r="L1392" s="56"/>
      <c r="M1392" s="55"/>
      <c r="N1392" s="56"/>
      <c r="O1392" s="55"/>
      <c r="P1392" s="77">
        <v>184.57499999999999</v>
      </c>
      <c r="Q1392" s="82"/>
      <c r="R1392" s="82"/>
      <c r="S1392" s="82"/>
      <c r="T1392" s="82"/>
      <c r="U1392" s="170"/>
      <c r="V1392" s="82"/>
      <c r="W1392" s="151"/>
      <c r="X1392" s="82"/>
      <c r="Y1392" s="82"/>
      <c r="Z1392" s="82"/>
      <c r="AA1392" s="82"/>
      <c r="AB1392" s="145"/>
      <c r="AC1392" s="145"/>
      <c r="AD1392" s="145"/>
      <c r="AE1392" s="145"/>
      <c r="AF1392" s="145"/>
      <c r="AG1392" s="145"/>
      <c r="AH1392" s="145"/>
      <c r="AI1392" s="145"/>
      <c r="AJ1392" s="145"/>
      <c r="AK1392" s="145"/>
      <c r="AL1392" s="145"/>
      <c r="AM1392" s="145"/>
      <c r="AN1392" s="145"/>
      <c r="AO1392" s="145"/>
      <c r="AP1392" s="145"/>
      <c r="AQ1392" s="145"/>
      <c r="AR1392" s="145"/>
      <c r="AS1392" s="145"/>
      <c r="AT1392" s="145"/>
      <c r="AU1392" s="145"/>
      <c r="AV1392" s="146"/>
      <c r="AW1392" s="146"/>
      <c r="AX1392" s="146"/>
      <c r="AY1392" s="146"/>
      <c r="AZ1392" s="145"/>
      <c r="BA1392" s="146"/>
      <c r="BB1392" s="145"/>
      <c r="BC1392" s="145"/>
      <c r="BD1392" s="145"/>
      <c r="BE1392" s="145"/>
      <c r="BF1392" s="145"/>
      <c r="BG1392" s="145"/>
      <c r="BH1392" s="145"/>
      <c r="BI1392" s="145"/>
      <c r="BJ1392" s="145"/>
      <c r="BK1392" s="145"/>
    </row>
    <row r="1393" spans="1:63" s="147" customFormat="1" ht="15" x14ac:dyDescent="0.25">
      <c r="A1393" s="52"/>
      <c r="B1393" s="53" t="s">
        <v>187</v>
      </c>
      <c r="C1393" s="104" t="s">
        <v>188</v>
      </c>
      <c r="D1393" s="104"/>
      <c r="E1393" s="104"/>
      <c r="F1393" s="104"/>
      <c r="G1393" s="104"/>
      <c r="H1393" s="54" t="s">
        <v>60</v>
      </c>
      <c r="I1393" s="58">
        <v>112</v>
      </c>
      <c r="J1393" s="55"/>
      <c r="K1393" s="58">
        <v>112</v>
      </c>
      <c r="L1393" s="56"/>
      <c r="M1393" s="55"/>
      <c r="N1393" s="56"/>
      <c r="O1393" s="55"/>
      <c r="P1393" s="77">
        <v>206.72399999999996</v>
      </c>
      <c r="Q1393" s="82"/>
      <c r="R1393" s="82"/>
      <c r="S1393" s="82"/>
      <c r="T1393" s="82"/>
      <c r="U1393" s="170"/>
      <c r="V1393" s="82"/>
      <c r="W1393" s="160"/>
      <c r="X1393" s="82"/>
      <c r="Y1393" s="82"/>
      <c r="Z1393" s="82"/>
      <c r="AA1393" s="82"/>
      <c r="AB1393" s="145"/>
      <c r="AC1393" s="145"/>
      <c r="AD1393" s="145"/>
      <c r="AE1393" s="145"/>
      <c r="AF1393" s="145"/>
      <c r="AG1393" s="145"/>
      <c r="AH1393" s="145"/>
      <c r="AI1393" s="145"/>
      <c r="AJ1393" s="145"/>
      <c r="AK1393" s="145"/>
      <c r="AL1393" s="145"/>
      <c r="AM1393" s="145"/>
      <c r="AN1393" s="145"/>
      <c r="AO1393" s="145"/>
      <c r="AP1393" s="145"/>
      <c r="AQ1393" s="145"/>
      <c r="AR1393" s="145"/>
      <c r="AS1393" s="145"/>
      <c r="AT1393" s="145"/>
      <c r="AU1393" s="145"/>
      <c r="AV1393" s="146"/>
      <c r="AW1393" s="146"/>
      <c r="AX1393" s="146"/>
      <c r="AY1393" s="146"/>
      <c r="AZ1393" s="145"/>
      <c r="BA1393" s="146"/>
      <c r="BB1393" s="145"/>
      <c r="BC1393" s="145"/>
      <c r="BD1393" s="145"/>
      <c r="BE1393" s="145"/>
      <c r="BF1393" s="145"/>
      <c r="BG1393" s="145"/>
      <c r="BH1393" s="145"/>
      <c r="BI1393" s="145"/>
      <c r="BJ1393" s="145"/>
      <c r="BK1393" s="145"/>
    </row>
    <row r="1394" spans="1:63" s="147" customFormat="1" ht="15" x14ac:dyDescent="0.25">
      <c r="A1394" s="52"/>
      <c r="B1394" s="53" t="s">
        <v>189</v>
      </c>
      <c r="C1394" s="104" t="s">
        <v>190</v>
      </c>
      <c r="D1394" s="104"/>
      <c r="E1394" s="104"/>
      <c r="F1394" s="104"/>
      <c r="G1394" s="104"/>
      <c r="H1394" s="54" t="s">
        <v>60</v>
      </c>
      <c r="I1394" s="58">
        <v>65</v>
      </c>
      <c r="J1394" s="55"/>
      <c r="K1394" s="58">
        <v>65</v>
      </c>
      <c r="L1394" s="56"/>
      <c r="M1394" s="55"/>
      <c r="N1394" s="56"/>
      <c r="O1394" s="55"/>
      <c r="P1394" s="77">
        <v>119.97949999999999</v>
      </c>
      <c r="Q1394" s="82"/>
      <c r="R1394" s="82"/>
      <c r="S1394" s="82"/>
      <c r="T1394" s="82"/>
      <c r="U1394" s="170"/>
      <c r="V1394" s="82"/>
      <c r="W1394" s="164"/>
      <c r="X1394" s="82"/>
      <c r="Y1394" s="82"/>
      <c r="Z1394" s="82"/>
      <c r="AA1394" s="82"/>
      <c r="AB1394" s="145"/>
      <c r="AC1394" s="145"/>
      <c r="AD1394" s="145"/>
      <c r="AE1394" s="145"/>
      <c r="AF1394" s="145"/>
      <c r="AG1394" s="145"/>
      <c r="AH1394" s="145"/>
      <c r="AI1394" s="145"/>
      <c r="AJ1394" s="145"/>
      <c r="AK1394" s="145"/>
      <c r="AL1394" s="145"/>
      <c r="AM1394" s="145"/>
      <c r="AN1394" s="145"/>
      <c r="AO1394" s="145"/>
      <c r="AP1394" s="145"/>
      <c r="AQ1394" s="145"/>
      <c r="AR1394" s="145"/>
      <c r="AS1394" s="145"/>
      <c r="AT1394" s="145"/>
      <c r="AU1394" s="145"/>
      <c r="AV1394" s="146"/>
      <c r="AW1394" s="146"/>
      <c r="AX1394" s="146"/>
      <c r="AY1394" s="146"/>
      <c r="AZ1394" s="145"/>
      <c r="BA1394" s="146"/>
      <c r="BB1394" s="145"/>
      <c r="BC1394" s="145"/>
      <c r="BD1394" s="145"/>
      <c r="BE1394" s="145"/>
      <c r="BF1394" s="145"/>
      <c r="BG1394" s="145"/>
      <c r="BH1394" s="145"/>
      <c r="BI1394" s="145"/>
      <c r="BJ1394" s="145"/>
      <c r="BK1394" s="145"/>
    </row>
    <row r="1395" spans="1:63" s="147" customFormat="1" ht="15" x14ac:dyDescent="0.25">
      <c r="A1395" s="59"/>
      <c r="B1395" s="98"/>
      <c r="C1395" s="102" t="s">
        <v>63</v>
      </c>
      <c r="D1395" s="102"/>
      <c r="E1395" s="102"/>
      <c r="F1395" s="102"/>
      <c r="G1395" s="102"/>
      <c r="H1395" s="41"/>
      <c r="I1395" s="42"/>
      <c r="J1395" s="42"/>
      <c r="K1395" s="42"/>
      <c r="L1395" s="45"/>
      <c r="M1395" s="42"/>
      <c r="N1395" s="49">
        <v>3949.28</v>
      </c>
      <c r="O1395" s="42"/>
      <c r="P1395" s="50">
        <v>532.73749999999995</v>
      </c>
      <c r="Q1395" s="82"/>
      <c r="R1395" s="82"/>
      <c r="S1395" s="82"/>
      <c r="T1395" s="82"/>
      <c r="U1395" s="167"/>
      <c r="V1395" s="82"/>
      <c r="W1395" s="164"/>
      <c r="X1395" s="82"/>
      <c r="Y1395" s="82"/>
      <c r="Z1395" s="82"/>
      <c r="AA1395" s="82"/>
      <c r="AB1395" s="145"/>
      <c r="AC1395" s="145"/>
      <c r="AD1395" s="145"/>
      <c r="AE1395" s="145"/>
      <c r="AF1395" s="145"/>
      <c r="AG1395" s="145"/>
      <c r="AH1395" s="145"/>
      <c r="AI1395" s="145"/>
      <c r="AJ1395" s="145"/>
      <c r="AK1395" s="145"/>
      <c r="AL1395" s="145"/>
      <c r="AM1395" s="145"/>
      <c r="AN1395" s="145"/>
      <c r="AO1395" s="145"/>
      <c r="AP1395" s="145"/>
      <c r="AQ1395" s="145"/>
      <c r="AR1395" s="145"/>
      <c r="AS1395" s="145"/>
      <c r="AT1395" s="145"/>
      <c r="AU1395" s="145"/>
      <c r="AV1395" s="146"/>
      <c r="AW1395" s="146"/>
      <c r="AX1395" s="146"/>
      <c r="AY1395" s="146"/>
      <c r="AZ1395" s="145"/>
      <c r="BA1395" s="146"/>
      <c r="BB1395" s="145"/>
      <c r="BC1395" s="145"/>
      <c r="BD1395" s="145"/>
      <c r="BE1395" s="145"/>
      <c r="BF1395" s="145"/>
      <c r="BG1395" s="145"/>
      <c r="BH1395" s="145"/>
      <c r="BI1395" s="145"/>
      <c r="BJ1395" s="145"/>
      <c r="BK1395" s="145"/>
    </row>
    <row r="1396" spans="1:63" s="147" customFormat="1" ht="15" x14ac:dyDescent="0.25">
      <c r="A1396" s="39" t="s">
        <v>868</v>
      </c>
      <c r="B1396" s="97" t="s">
        <v>192</v>
      </c>
      <c r="C1396" s="103" t="s">
        <v>193</v>
      </c>
      <c r="D1396" s="103"/>
      <c r="E1396" s="103"/>
      <c r="F1396" s="103"/>
      <c r="G1396" s="103"/>
      <c r="H1396" s="41" t="s">
        <v>170</v>
      </c>
      <c r="I1396" s="42">
        <v>0.35893799999999998</v>
      </c>
      <c r="J1396" s="43">
        <v>1</v>
      </c>
      <c r="K1396" s="68">
        <v>0.35893799999999998</v>
      </c>
      <c r="L1396" s="45"/>
      <c r="M1396" s="42"/>
      <c r="N1396" s="49">
        <v>6212.75</v>
      </c>
      <c r="O1396" s="42"/>
      <c r="P1396" s="50">
        <v>3714.4884999999995</v>
      </c>
      <c r="Q1396" s="82"/>
      <c r="R1396" s="82"/>
      <c r="S1396" s="82"/>
      <c r="T1396" s="82"/>
      <c r="U1396" s="156"/>
      <c r="V1396" s="82"/>
      <c r="W1396" s="151"/>
      <c r="X1396" s="82"/>
      <c r="Y1396" s="82"/>
      <c r="Z1396" s="82"/>
      <c r="AA1396" s="82"/>
      <c r="AB1396" s="145"/>
      <c r="AC1396" s="145"/>
      <c r="AD1396" s="145"/>
      <c r="AE1396" s="145"/>
      <c r="AF1396" s="145"/>
      <c r="AG1396" s="145"/>
      <c r="AH1396" s="145"/>
      <c r="AI1396" s="145"/>
      <c r="AJ1396" s="145"/>
      <c r="AK1396" s="145"/>
      <c r="AL1396" s="145"/>
      <c r="AM1396" s="145"/>
      <c r="AN1396" s="145"/>
      <c r="AO1396" s="145"/>
      <c r="AP1396" s="145"/>
      <c r="AQ1396" s="145"/>
      <c r="AR1396" s="145"/>
      <c r="AS1396" s="145"/>
      <c r="AT1396" s="145"/>
      <c r="AU1396" s="145"/>
      <c r="AV1396" s="146"/>
      <c r="AW1396" s="146"/>
      <c r="AX1396" s="146"/>
      <c r="AY1396" s="146"/>
      <c r="AZ1396" s="145"/>
      <c r="BA1396" s="146"/>
      <c r="BB1396" s="145"/>
      <c r="BC1396" s="145"/>
      <c r="BD1396" s="145"/>
      <c r="BE1396" s="145"/>
      <c r="BF1396" s="145"/>
      <c r="BG1396" s="145"/>
      <c r="BH1396" s="145"/>
      <c r="BI1396" s="145"/>
      <c r="BJ1396" s="145"/>
      <c r="BK1396" s="145"/>
    </row>
    <row r="1397" spans="1:63" s="147" customFormat="1" ht="15" x14ac:dyDescent="0.25">
      <c r="A1397" s="59"/>
      <c r="B1397" s="98"/>
      <c r="C1397" s="102" t="s">
        <v>63</v>
      </c>
      <c r="D1397" s="102"/>
      <c r="E1397" s="102"/>
      <c r="F1397" s="102"/>
      <c r="G1397" s="102"/>
      <c r="H1397" s="41"/>
      <c r="I1397" s="42"/>
      <c r="J1397" s="42"/>
      <c r="K1397" s="42"/>
      <c r="L1397" s="45"/>
      <c r="M1397" s="42"/>
      <c r="N1397" s="45"/>
      <c r="O1397" s="42"/>
      <c r="P1397" s="50">
        <v>3714.4884999999995</v>
      </c>
      <c r="Q1397" s="82"/>
      <c r="R1397" s="82"/>
      <c r="S1397" s="82"/>
      <c r="T1397" s="82"/>
      <c r="U1397" s="156"/>
      <c r="V1397" s="82"/>
      <c r="W1397" s="176"/>
      <c r="X1397" s="82"/>
      <c r="Y1397" s="82"/>
      <c r="Z1397" s="82"/>
      <c r="AA1397" s="82"/>
      <c r="AB1397" s="145"/>
      <c r="AC1397" s="145"/>
      <c r="AD1397" s="145"/>
      <c r="AE1397" s="145"/>
      <c r="AF1397" s="145"/>
      <c r="AG1397" s="145"/>
      <c r="AH1397" s="145"/>
      <c r="AI1397" s="145"/>
      <c r="AJ1397" s="145"/>
      <c r="AK1397" s="145"/>
      <c r="AL1397" s="145"/>
      <c r="AM1397" s="145"/>
      <c r="AN1397" s="145"/>
      <c r="AO1397" s="145"/>
      <c r="AP1397" s="145"/>
      <c r="AQ1397" s="145"/>
      <c r="AR1397" s="145"/>
      <c r="AS1397" s="145"/>
      <c r="AT1397" s="145"/>
      <c r="AU1397" s="145"/>
      <c r="AV1397" s="146"/>
      <c r="AW1397" s="146"/>
      <c r="AX1397" s="146"/>
      <c r="AY1397" s="146"/>
      <c r="AZ1397" s="145"/>
      <c r="BA1397" s="146"/>
      <c r="BB1397" s="145"/>
      <c r="BC1397" s="145"/>
      <c r="BD1397" s="145"/>
      <c r="BE1397" s="145"/>
      <c r="BF1397" s="145"/>
      <c r="BG1397" s="145"/>
      <c r="BH1397" s="145"/>
      <c r="BI1397" s="145"/>
      <c r="BJ1397" s="145"/>
      <c r="BK1397" s="145"/>
    </row>
    <row r="1398" spans="1:63" s="147" customFormat="1" ht="15" x14ac:dyDescent="0.25">
      <c r="A1398" s="39" t="s">
        <v>869</v>
      </c>
      <c r="B1398" s="97" t="s">
        <v>199</v>
      </c>
      <c r="C1398" s="103" t="s">
        <v>200</v>
      </c>
      <c r="D1398" s="103"/>
      <c r="E1398" s="103"/>
      <c r="F1398" s="103"/>
      <c r="G1398" s="103"/>
      <c r="H1398" s="41" t="s">
        <v>55</v>
      </c>
      <c r="I1398" s="42">
        <v>0.1053</v>
      </c>
      <c r="J1398" s="43">
        <v>1</v>
      </c>
      <c r="K1398" s="44">
        <v>0.1053</v>
      </c>
      <c r="L1398" s="45"/>
      <c r="M1398" s="42"/>
      <c r="N1398" s="45"/>
      <c r="O1398" s="42"/>
      <c r="P1398" s="50"/>
      <c r="Q1398" s="82"/>
      <c r="R1398" s="82"/>
      <c r="S1398" s="82"/>
      <c r="T1398" s="82"/>
      <c r="U1398" s="153"/>
      <c r="V1398" s="82"/>
      <c r="W1398" s="151"/>
      <c r="X1398" s="82"/>
      <c r="Y1398" s="82"/>
      <c r="Z1398" s="82"/>
      <c r="AA1398" s="82"/>
      <c r="AB1398" s="145"/>
      <c r="AC1398" s="145"/>
      <c r="AD1398" s="145"/>
      <c r="AE1398" s="145"/>
      <c r="AF1398" s="145"/>
      <c r="AG1398" s="145"/>
      <c r="AH1398" s="145"/>
      <c r="AI1398" s="145"/>
      <c r="AJ1398" s="145"/>
      <c r="AK1398" s="145"/>
      <c r="AL1398" s="145"/>
      <c r="AM1398" s="145"/>
      <c r="AN1398" s="145"/>
      <c r="AO1398" s="145"/>
      <c r="AP1398" s="145"/>
      <c r="AQ1398" s="145"/>
      <c r="AR1398" s="145"/>
      <c r="AS1398" s="145"/>
      <c r="AT1398" s="145"/>
      <c r="AU1398" s="145"/>
      <c r="AV1398" s="146"/>
      <c r="AW1398" s="146"/>
      <c r="AX1398" s="146"/>
      <c r="AY1398" s="146"/>
      <c r="AZ1398" s="145"/>
      <c r="BA1398" s="146"/>
      <c r="BB1398" s="145"/>
      <c r="BC1398" s="145"/>
      <c r="BD1398" s="145"/>
      <c r="BE1398" s="145"/>
      <c r="BF1398" s="145"/>
      <c r="BG1398" s="145"/>
      <c r="BH1398" s="145"/>
      <c r="BI1398" s="145"/>
      <c r="BJ1398" s="145"/>
      <c r="BK1398" s="145"/>
    </row>
    <row r="1399" spans="1:63" s="147" customFormat="1" ht="15" x14ac:dyDescent="0.25">
      <c r="A1399" s="47"/>
      <c r="B1399" s="48"/>
      <c r="C1399" s="102" t="s">
        <v>56</v>
      </c>
      <c r="D1399" s="102"/>
      <c r="E1399" s="102"/>
      <c r="F1399" s="102"/>
      <c r="G1399" s="102"/>
      <c r="H1399" s="41"/>
      <c r="I1399" s="42"/>
      <c r="J1399" s="42"/>
      <c r="K1399" s="42"/>
      <c r="L1399" s="45"/>
      <c r="M1399" s="42"/>
      <c r="N1399" s="49"/>
      <c r="O1399" s="42"/>
      <c r="P1399" s="50">
        <v>20427.219999999998</v>
      </c>
      <c r="Q1399" s="157"/>
      <c r="R1399" s="157"/>
      <c r="S1399" s="82"/>
      <c r="T1399" s="82"/>
      <c r="U1399" s="156"/>
      <c r="V1399" s="82"/>
      <c r="W1399" s="166"/>
      <c r="X1399" s="82"/>
      <c r="Y1399" s="82"/>
      <c r="Z1399" s="82"/>
      <c r="AA1399" s="82"/>
      <c r="AB1399" s="145"/>
      <c r="AC1399" s="145"/>
      <c r="AD1399" s="145"/>
      <c r="AE1399" s="145"/>
      <c r="AF1399" s="145"/>
      <c r="AG1399" s="145"/>
      <c r="AH1399" s="145"/>
      <c r="AI1399" s="145"/>
      <c r="AJ1399" s="145"/>
      <c r="AK1399" s="145"/>
      <c r="AL1399" s="145"/>
      <c r="AM1399" s="145"/>
      <c r="AN1399" s="145"/>
      <c r="AO1399" s="145"/>
      <c r="AP1399" s="145"/>
      <c r="AQ1399" s="145"/>
      <c r="AR1399" s="145"/>
      <c r="AS1399" s="145"/>
      <c r="AT1399" s="145"/>
      <c r="AU1399" s="145"/>
      <c r="AV1399" s="146"/>
      <c r="AW1399" s="146"/>
      <c r="AX1399" s="146"/>
      <c r="AY1399" s="146"/>
      <c r="AZ1399" s="145"/>
      <c r="BA1399" s="146"/>
      <c r="BB1399" s="145"/>
      <c r="BC1399" s="145"/>
      <c r="BD1399" s="145"/>
      <c r="BE1399" s="145"/>
      <c r="BF1399" s="145"/>
      <c r="BG1399" s="145"/>
      <c r="BH1399" s="145"/>
      <c r="BI1399" s="145"/>
      <c r="BJ1399" s="145"/>
      <c r="BK1399" s="145"/>
    </row>
    <row r="1400" spans="1:63" s="147" customFormat="1" ht="15" x14ac:dyDescent="0.25">
      <c r="A1400" s="52"/>
      <c r="B1400" s="53"/>
      <c r="C1400" s="104" t="s">
        <v>57</v>
      </c>
      <c r="D1400" s="104"/>
      <c r="E1400" s="104"/>
      <c r="F1400" s="104"/>
      <c r="G1400" s="104"/>
      <c r="H1400" s="54"/>
      <c r="I1400" s="55"/>
      <c r="J1400" s="55"/>
      <c r="K1400" s="55"/>
      <c r="L1400" s="56"/>
      <c r="M1400" s="55"/>
      <c r="N1400" s="56"/>
      <c r="O1400" s="55"/>
      <c r="P1400" s="77">
        <v>20289.035999999996</v>
      </c>
      <c r="Q1400" s="82"/>
      <c r="R1400" s="82"/>
      <c r="S1400" s="82"/>
      <c r="T1400" s="82"/>
      <c r="U1400" s="163"/>
      <c r="V1400" s="82"/>
      <c r="W1400" s="151"/>
      <c r="X1400" s="82"/>
      <c r="Y1400" s="82"/>
      <c r="Z1400" s="82"/>
      <c r="AA1400" s="82"/>
      <c r="AB1400" s="145"/>
      <c r="AC1400" s="145"/>
      <c r="AD1400" s="145"/>
      <c r="AE1400" s="145"/>
      <c r="AF1400" s="145"/>
      <c r="AG1400" s="145"/>
      <c r="AH1400" s="145"/>
      <c r="AI1400" s="145"/>
      <c r="AJ1400" s="145"/>
      <c r="AK1400" s="145"/>
      <c r="AL1400" s="145"/>
      <c r="AM1400" s="145"/>
      <c r="AN1400" s="145"/>
      <c r="AO1400" s="145"/>
      <c r="AP1400" s="145"/>
      <c r="AQ1400" s="145"/>
      <c r="AR1400" s="145"/>
      <c r="AS1400" s="145"/>
      <c r="AT1400" s="145"/>
      <c r="AU1400" s="145"/>
      <c r="AV1400" s="146"/>
      <c r="AW1400" s="146"/>
      <c r="AX1400" s="146"/>
      <c r="AY1400" s="146"/>
      <c r="AZ1400" s="145"/>
      <c r="BA1400" s="146"/>
      <c r="BB1400" s="145"/>
      <c r="BC1400" s="145"/>
      <c r="BD1400" s="145"/>
      <c r="BE1400" s="145"/>
      <c r="BF1400" s="145"/>
      <c r="BG1400" s="145"/>
      <c r="BH1400" s="145"/>
      <c r="BI1400" s="145"/>
      <c r="BJ1400" s="145"/>
      <c r="BK1400" s="145"/>
    </row>
    <row r="1401" spans="1:63" s="147" customFormat="1" ht="15" x14ac:dyDescent="0.25">
      <c r="A1401" s="52"/>
      <c r="B1401" s="53" t="s">
        <v>187</v>
      </c>
      <c r="C1401" s="104" t="s">
        <v>188</v>
      </c>
      <c r="D1401" s="104"/>
      <c r="E1401" s="104"/>
      <c r="F1401" s="104"/>
      <c r="G1401" s="104"/>
      <c r="H1401" s="54" t="s">
        <v>60</v>
      </c>
      <c r="I1401" s="58">
        <v>112</v>
      </c>
      <c r="J1401" s="55"/>
      <c r="K1401" s="58">
        <v>112</v>
      </c>
      <c r="L1401" s="56"/>
      <c r="M1401" s="55"/>
      <c r="N1401" s="56"/>
      <c r="O1401" s="55"/>
      <c r="P1401" s="77">
        <v>22723.723999999995</v>
      </c>
      <c r="Q1401" s="82"/>
      <c r="R1401" s="82"/>
      <c r="S1401" s="82"/>
      <c r="T1401" s="82"/>
      <c r="U1401" s="163"/>
      <c r="V1401" s="82"/>
      <c r="W1401" s="160"/>
      <c r="X1401" s="82"/>
      <c r="Y1401" s="82"/>
      <c r="Z1401" s="82"/>
      <c r="AA1401" s="82"/>
      <c r="AB1401" s="145"/>
      <c r="AC1401" s="145"/>
      <c r="AD1401" s="145"/>
      <c r="AE1401" s="145"/>
      <c r="AF1401" s="145"/>
      <c r="AG1401" s="145"/>
      <c r="AH1401" s="145"/>
      <c r="AI1401" s="145"/>
      <c r="AJ1401" s="145"/>
      <c r="AK1401" s="145"/>
      <c r="AL1401" s="145"/>
      <c r="AM1401" s="145"/>
      <c r="AN1401" s="145"/>
      <c r="AO1401" s="145"/>
      <c r="AP1401" s="145"/>
      <c r="AQ1401" s="145"/>
      <c r="AR1401" s="145"/>
      <c r="AS1401" s="145"/>
      <c r="AT1401" s="145"/>
      <c r="AU1401" s="145"/>
      <c r="AV1401" s="146"/>
      <c r="AW1401" s="146"/>
      <c r="AX1401" s="146"/>
      <c r="AY1401" s="146"/>
      <c r="AZ1401" s="145"/>
      <c r="BA1401" s="146"/>
      <c r="BB1401" s="145"/>
      <c r="BC1401" s="145"/>
      <c r="BD1401" s="145"/>
      <c r="BE1401" s="145"/>
      <c r="BF1401" s="145"/>
      <c r="BG1401" s="145"/>
      <c r="BH1401" s="145"/>
      <c r="BI1401" s="145"/>
      <c r="BJ1401" s="145"/>
      <c r="BK1401" s="145"/>
    </row>
    <row r="1402" spans="1:63" s="147" customFormat="1" ht="15" x14ac:dyDescent="0.25">
      <c r="A1402" s="52"/>
      <c r="B1402" s="53" t="s">
        <v>189</v>
      </c>
      <c r="C1402" s="104" t="s">
        <v>190</v>
      </c>
      <c r="D1402" s="104"/>
      <c r="E1402" s="104"/>
      <c r="F1402" s="104"/>
      <c r="G1402" s="104"/>
      <c r="H1402" s="54" t="s">
        <v>60</v>
      </c>
      <c r="I1402" s="58">
        <v>65</v>
      </c>
      <c r="J1402" s="55"/>
      <c r="K1402" s="58">
        <v>65</v>
      </c>
      <c r="L1402" s="56"/>
      <c r="M1402" s="55"/>
      <c r="N1402" s="56"/>
      <c r="O1402" s="55"/>
      <c r="P1402" s="77">
        <v>13187.877999999999</v>
      </c>
      <c r="Q1402" s="82"/>
      <c r="R1402" s="82"/>
      <c r="S1402" s="82"/>
      <c r="T1402" s="82"/>
      <c r="U1402" s="163"/>
      <c r="V1402" s="82"/>
      <c r="W1402" s="164"/>
      <c r="X1402" s="82"/>
      <c r="Y1402" s="82"/>
      <c r="Z1402" s="82"/>
      <c r="AA1402" s="82"/>
      <c r="AB1402" s="145"/>
      <c r="AC1402" s="145"/>
      <c r="AD1402" s="145"/>
      <c r="AE1402" s="145"/>
      <c r="AF1402" s="145"/>
      <c r="AG1402" s="145"/>
      <c r="AH1402" s="145"/>
      <c r="AI1402" s="145"/>
      <c r="AJ1402" s="145"/>
      <c r="AK1402" s="145"/>
      <c r="AL1402" s="145"/>
      <c r="AM1402" s="145"/>
      <c r="AN1402" s="145"/>
      <c r="AO1402" s="145"/>
      <c r="AP1402" s="145"/>
      <c r="AQ1402" s="145"/>
      <c r="AR1402" s="145"/>
      <c r="AS1402" s="145"/>
      <c r="AT1402" s="145"/>
      <c r="AU1402" s="145"/>
      <c r="AV1402" s="146"/>
      <c r="AW1402" s="146"/>
      <c r="AX1402" s="146"/>
      <c r="AY1402" s="146"/>
      <c r="AZ1402" s="145"/>
      <c r="BA1402" s="146"/>
      <c r="BB1402" s="145"/>
      <c r="BC1402" s="145"/>
      <c r="BD1402" s="145"/>
      <c r="BE1402" s="145"/>
      <c r="BF1402" s="145"/>
      <c r="BG1402" s="145"/>
      <c r="BH1402" s="145"/>
      <c r="BI1402" s="145"/>
      <c r="BJ1402" s="145"/>
      <c r="BK1402" s="145"/>
    </row>
    <row r="1403" spans="1:63" s="147" customFormat="1" ht="15" x14ac:dyDescent="0.25">
      <c r="A1403" s="59"/>
      <c r="B1403" s="98"/>
      <c r="C1403" s="102" t="s">
        <v>63</v>
      </c>
      <c r="D1403" s="102"/>
      <c r="E1403" s="102"/>
      <c r="F1403" s="102"/>
      <c r="G1403" s="102"/>
      <c r="H1403" s="41"/>
      <c r="I1403" s="42"/>
      <c r="J1403" s="42"/>
      <c r="K1403" s="42"/>
      <c r="L1403" s="45"/>
      <c r="M1403" s="42"/>
      <c r="N1403" s="49">
        <v>326601.87</v>
      </c>
      <c r="O1403" s="42"/>
      <c r="P1403" s="50">
        <v>56338.821999999993</v>
      </c>
      <c r="Q1403" s="82"/>
      <c r="R1403" s="82"/>
      <c r="S1403" s="82"/>
      <c r="T1403" s="82"/>
      <c r="U1403" s="156"/>
      <c r="V1403" s="82"/>
      <c r="W1403" s="164"/>
      <c r="X1403" s="82"/>
      <c r="Y1403" s="82"/>
      <c r="Z1403" s="82"/>
      <c r="AA1403" s="82"/>
      <c r="AB1403" s="145"/>
      <c r="AC1403" s="145"/>
      <c r="AD1403" s="145"/>
      <c r="AE1403" s="145"/>
      <c r="AF1403" s="145"/>
      <c r="AG1403" s="145"/>
      <c r="AH1403" s="145"/>
      <c r="AI1403" s="145"/>
      <c r="AJ1403" s="145"/>
      <c r="AK1403" s="145"/>
      <c r="AL1403" s="145"/>
      <c r="AM1403" s="145"/>
      <c r="AN1403" s="145"/>
      <c r="AO1403" s="145"/>
      <c r="AP1403" s="145"/>
      <c r="AQ1403" s="145"/>
      <c r="AR1403" s="145"/>
      <c r="AS1403" s="145"/>
      <c r="AT1403" s="145"/>
      <c r="AU1403" s="145"/>
      <c r="AV1403" s="146"/>
      <c r="AW1403" s="146"/>
      <c r="AX1403" s="146"/>
      <c r="AY1403" s="146"/>
      <c r="AZ1403" s="145"/>
      <c r="BA1403" s="146"/>
      <c r="BB1403" s="145"/>
      <c r="BC1403" s="145"/>
      <c r="BD1403" s="145"/>
      <c r="BE1403" s="145"/>
      <c r="BF1403" s="145"/>
      <c r="BG1403" s="145"/>
      <c r="BH1403" s="145"/>
      <c r="BI1403" s="145"/>
      <c r="BJ1403" s="145"/>
      <c r="BK1403" s="145"/>
    </row>
    <row r="1404" spans="1:63" s="147" customFormat="1" ht="15" x14ac:dyDescent="0.25">
      <c r="A1404" s="39" t="s">
        <v>870</v>
      </c>
      <c r="B1404" s="97" t="s">
        <v>202</v>
      </c>
      <c r="C1404" s="103" t="s">
        <v>203</v>
      </c>
      <c r="D1404" s="103"/>
      <c r="E1404" s="103"/>
      <c r="F1404" s="103"/>
      <c r="G1404" s="103"/>
      <c r="H1404" s="41" t="s">
        <v>67</v>
      </c>
      <c r="I1404" s="42">
        <v>3</v>
      </c>
      <c r="J1404" s="43">
        <v>1</v>
      </c>
      <c r="K1404" s="43">
        <v>3</v>
      </c>
      <c r="L1404" s="49">
        <v>1284.05</v>
      </c>
      <c r="M1404" s="67">
        <v>1.2</v>
      </c>
      <c r="N1404" s="49">
        <v>1540.86</v>
      </c>
      <c r="O1404" s="42"/>
      <c r="P1404" s="50">
        <v>5315.9669999999996</v>
      </c>
      <c r="Q1404" s="82"/>
      <c r="R1404" s="82"/>
      <c r="S1404" s="82"/>
      <c r="T1404" s="82"/>
      <c r="U1404" s="156"/>
      <c r="V1404" s="82"/>
      <c r="W1404" s="151"/>
      <c r="X1404" s="82"/>
      <c r="Y1404" s="82"/>
      <c r="Z1404" s="82"/>
      <c r="AA1404" s="82"/>
      <c r="AB1404" s="145"/>
      <c r="AC1404" s="145"/>
      <c r="AD1404" s="145"/>
      <c r="AE1404" s="145"/>
      <c r="AF1404" s="145"/>
      <c r="AG1404" s="145"/>
      <c r="AH1404" s="145"/>
      <c r="AI1404" s="145"/>
      <c r="AJ1404" s="145"/>
      <c r="AK1404" s="145"/>
      <c r="AL1404" s="145"/>
      <c r="AM1404" s="145"/>
      <c r="AN1404" s="145"/>
      <c r="AO1404" s="145"/>
      <c r="AP1404" s="145"/>
      <c r="AQ1404" s="145"/>
      <c r="AR1404" s="145"/>
      <c r="AS1404" s="145"/>
      <c r="AT1404" s="145"/>
      <c r="AU1404" s="145"/>
      <c r="AV1404" s="146"/>
      <c r="AW1404" s="146"/>
      <c r="AX1404" s="146"/>
      <c r="AY1404" s="146"/>
      <c r="AZ1404" s="145"/>
      <c r="BA1404" s="146"/>
      <c r="BB1404" s="145"/>
      <c r="BC1404" s="145"/>
      <c r="BD1404" s="145"/>
      <c r="BE1404" s="145"/>
      <c r="BF1404" s="145"/>
      <c r="BG1404" s="145"/>
      <c r="BH1404" s="145"/>
      <c r="BI1404" s="145"/>
      <c r="BJ1404" s="145"/>
      <c r="BK1404" s="145"/>
    </row>
    <row r="1405" spans="1:63" s="147" customFormat="1" ht="15" x14ac:dyDescent="0.25">
      <c r="A1405" s="59"/>
      <c r="B1405" s="98"/>
      <c r="C1405" s="102" t="s">
        <v>63</v>
      </c>
      <c r="D1405" s="102"/>
      <c r="E1405" s="102"/>
      <c r="F1405" s="102"/>
      <c r="G1405" s="102"/>
      <c r="H1405" s="41"/>
      <c r="I1405" s="42"/>
      <c r="J1405" s="42"/>
      <c r="K1405" s="42"/>
      <c r="L1405" s="45"/>
      <c r="M1405" s="42"/>
      <c r="N1405" s="45"/>
      <c r="O1405" s="42"/>
      <c r="P1405" s="50">
        <v>5315.9669999999996</v>
      </c>
      <c r="Q1405" s="82"/>
      <c r="R1405" s="82"/>
      <c r="S1405" s="82"/>
      <c r="T1405" s="82"/>
      <c r="U1405" s="156"/>
      <c r="V1405" s="82"/>
      <c r="W1405" s="152"/>
      <c r="X1405" s="82"/>
      <c r="Y1405" s="82"/>
      <c r="Z1405" s="82"/>
      <c r="AA1405" s="82"/>
      <c r="AB1405" s="145"/>
      <c r="AC1405" s="145"/>
      <c r="AD1405" s="145"/>
      <c r="AE1405" s="145"/>
      <c r="AF1405" s="145"/>
      <c r="AG1405" s="145"/>
      <c r="AH1405" s="145"/>
      <c r="AI1405" s="145"/>
      <c r="AJ1405" s="145"/>
      <c r="AK1405" s="145"/>
      <c r="AL1405" s="145"/>
      <c r="AM1405" s="145"/>
      <c r="AN1405" s="145"/>
      <c r="AO1405" s="145"/>
      <c r="AP1405" s="145"/>
      <c r="AQ1405" s="145"/>
      <c r="AR1405" s="145"/>
      <c r="AS1405" s="145"/>
      <c r="AT1405" s="145"/>
      <c r="AU1405" s="145"/>
      <c r="AV1405" s="146"/>
      <c r="AW1405" s="146"/>
      <c r="AX1405" s="146"/>
      <c r="AY1405" s="146"/>
      <c r="AZ1405" s="145"/>
      <c r="BA1405" s="146"/>
      <c r="BB1405" s="145"/>
      <c r="BC1405" s="145"/>
      <c r="BD1405" s="145"/>
      <c r="BE1405" s="145"/>
      <c r="BF1405" s="145"/>
      <c r="BG1405" s="145"/>
      <c r="BH1405" s="145"/>
      <c r="BI1405" s="145"/>
      <c r="BJ1405" s="145"/>
      <c r="BK1405" s="145"/>
    </row>
    <row r="1406" spans="1:63" s="147" customFormat="1" ht="15" x14ac:dyDescent="0.25">
      <c r="A1406" s="39" t="s">
        <v>871</v>
      </c>
      <c r="B1406" s="97" t="s">
        <v>205</v>
      </c>
      <c r="C1406" s="103" t="s">
        <v>206</v>
      </c>
      <c r="D1406" s="103"/>
      <c r="E1406" s="103"/>
      <c r="F1406" s="103"/>
      <c r="G1406" s="103"/>
      <c r="H1406" s="41" t="s">
        <v>71</v>
      </c>
      <c r="I1406" s="42">
        <v>0.18</v>
      </c>
      <c r="J1406" s="43">
        <v>1</v>
      </c>
      <c r="K1406" s="62">
        <v>0.18</v>
      </c>
      <c r="L1406" s="49">
        <v>36038.35</v>
      </c>
      <c r="M1406" s="62">
        <v>1.1399999999999999</v>
      </c>
      <c r="N1406" s="49">
        <v>41083.72</v>
      </c>
      <c r="O1406" s="42"/>
      <c r="P1406" s="50">
        <v>8504.3304999999982</v>
      </c>
      <c r="Q1406" s="82"/>
      <c r="R1406" s="82"/>
      <c r="S1406" s="82"/>
      <c r="T1406" s="82"/>
      <c r="U1406" s="156"/>
      <c r="V1406" s="82"/>
      <c r="W1406" s="151"/>
      <c r="X1406" s="82"/>
      <c r="Y1406" s="82"/>
      <c r="Z1406" s="82"/>
      <c r="AA1406" s="82"/>
      <c r="AB1406" s="145"/>
      <c r="AC1406" s="145"/>
      <c r="AD1406" s="145"/>
      <c r="AE1406" s="145"/>
      <c r="AF1406" s="145"/>
      <c r="AG1406" s="145"/>
      <c r="AH1406" s="145"/>
      <c r="AI1406" s="145"/>
      <c r="AJ1406" s="145"/>
      <c r="AK1406" s="145"/>
      <c r="AL1406" s="145"/>
      <c r="AM1406" s="145"/>
      <c r="AN1406" s="145"/>
      <c r="AO1406" s="145"/>
      <c r="AP1406" s="145"/>
      <c r="AQ1406" s="145"/>
      <c r="AR1406" s="145"/>
      <c r="AS1406" s="145"/>
      <c r="AT1406" s="145"/>
      <c r="AU1406" s="145"/>
      <c r="AV1406" s="146"/>
      <c r="AW1406" s="146"/>
      <c r="AX1406" s="146"/>
      <c r="AY1406" s="146"/>
      <c r="AZ1406" s="145"/>
      <c r="BA1406" s="146"/>
      <c r="BB1406" s="145"/>
      <c r="BC1406" s="145"/>
      <c r="BD1406" s="145"/>
      <c r="BE1406" s="145"/>
      <c r="BF1406" s="145"/>
      <c r="BG1406" s="145"/>
      <c r="BH1406" s="145"/>
      <c r="BI1406" s="145"/>
      <c r="BJ1406" s="145"/>
      <c r="BK1406" s="145"/>
    </row>
    <row r="1407" spans="1:63" s="147" customFormat="1" ht="15" x14ac:dyDescent="0.25">
      <c r="A1407" s="59"/>
      <c r="B1407" s="98"/>
      <c r="C1407" s="102" t="s">
        <v>63</v>
      </c>
      <c r="D1407" s="102"/>
      <c r="E1407" s="102"/>
      <c r="F1407" s="102"/>
      <c r="G1407" s="102"/>
      <c r="H1407" s="41"/>
      <c r="I1407" s="42"/>
      <c r="J1407" s="42"/>
      <c r="K1407" s="42"/>
      <c r="L1407" s="45"/>
      <c r="M1407" s="42"/>
      <c r="N1407" s="45"/>
      <c r="O1407" s="42"/>
      <c r="P1407" s="50">
        <v>8504.3304999999982</v>
      </c>
      <c r="Q1407" s="82"/>
      <c r="R1407" s="82"/>
      <c r="S1407" s="82"/>
      <c r="T1407" s="82"/>
      <c r="U1407" s="156"/>
      <c r="V1407" s="82"/>
      <c r="W1407" s="168"/>
      <c r="X1407" s="82"/>
      <c r="Y1407" s="82"/>
      <c r="Z1407" s="82"/>
      <c r="AA1407" s="82"/>
      <c r="AB1407" s="145"/>
      <c r="AC1407" s="145"/>
      <c r="AD1407" s="145"/>
      <c r="AE1407" s="145"/>
      <c r="AF1407" s="145"/>
      <c r="AG1407" s="145"/>
      <c r="AH1407" s="145"/>
      <c r="AI1407" s="145"/>
      <c r="AJ1407" s="145"/>
      <c r="AK1407" s="145"/>
      <c r="AL1407" s="145"/>
      <c r="AM1407" s="145"/>
      <c r="AN1407" s="145"/>
      <c r="AO1407" s="145"/>
      <c r="AP1407" s="145"/>
      <c r="AQ1407" s="145"/>
      <c r="AR1407" s="145"/>
      <c r="AS1407" s="145"/>
      <c r="AT1407" s="145"/>
      <c r="AU1407" s="145"/>
      <c r="AV1407" s="146"/>
      <c r="AW1407" s="146"/>
      <c r="AX1407" s="146"/>
      <c r="AY1407" s="146"/>
      <c r="AZ1407" s="145"/>
      <c r="BA1407" s="146"/>
      <c r="BB1407" s="145"/>
      <c r="BC1407" s="145"/>
      <c r="BD1407" s="145"/>
      <c r="BE1407" s="145"/>
      <c r="BF1407" s="145"/>
      <c r="BG1407" s="145"/>
      <c r="BH1407" s="145"/>
      <c r="BI1407" s="145"/>
      <c r="BJ1407" s="145"/>
      <c r="BK1407" s="145"/>
    </row>
    <row r="1408" spans="1:63" s="147" customFormat="1" ht="40.5" customHeight="1" x14ac:dyDescent="0.25">
      <c r="A1408" s="39" t="s">
        <v>872</v>
      </c>
      <c r="B1408" s="97" t="s">
        <v>208</v>
      </c>
      <c r="C1408" s="103" t="s">
        <v>305</v>
      </c>
      <c r="D1408" s="103"/>
      <c r="E1408" s="103"/>
      <c r="F1408" s="103"/>
      <c r="G1408" s="103"/>
      <c r="H1408" s="41" t="s">
        <v>105</v>
      </c>
      <c r="I1408" s="42">
        <v>11.05</v>
      </c>
      <c r="J1408" s="43">
        <v>1</v>
      </c>
      <c r="K1408" s="67">
        <v>11.05</v>
      </c>
      <c r="L1408" s="61">
        <v>603.37</v>
      </c>
      <c r="M1408" s="62">
        <v>1.25</v>
      </c>
      <c r="N1408" s="61">
        <v>754.21</v>
      </c>
      <c r="O1408" s="42"/>
      <c r="P1408" s="50">
        <v>13270.321499999998</v>
      </c>
      <c r="Q1408" s="82"/>
      <c r="R1408" s="82"/>
      <c r="S1408" s="82"/>
      <c r="T1408" s="82"/>
      <c r="U1408" s="156"/>
      <c r="V1408" s="82"/>
      <c r="W1408" s="151"/>
      <c r="X1408" s="82"/>
      <c r="Y1408" s="82"/>
      <c r="Z1408" s="82"/>
      <c r="AA1408" s="82"/>
      <c r="AB1408" s="145"/>
      <c r="AC1408" s="145"/>
      <c r="AD1408" s="145"/>
      <c r="AE1408" s="145"/>
      <c r="AF1408" s="145"/>
      <c r="AG1408" s="145"/>
      <c r="AH1408" s="145"/>
      <c r="AI1408" s="145"/>
      <c r="AJ1408" s="145"/>
      <c r="AK1408" s="145"/>
      <c r="AL1408" s="145"/>
      <c r="AM1408" s="145"/>
      <c r="AN1408" s="145"/>
      <c r="AO1408" s="145"/>
      <c r="AP1408" s="145"/>
      <c r="AQ1408" s="145"/>
      <c r="AR1408" s="145"/>
      <c r="AS1408" s="145"/>
      <c r="AT1408" s="145"/>
      <c r="AU1408" s="145"/>
      <c r="AV1408" s="146"/>
      <c r="AW1408" s="146"/>
      <c r="AX1408" s="146"/>
      <c r="AY1408" s="146"/>
      <c r="AZ1408" s="145"/>
      <c r="BA1408" s="146"/>
      <c r="BB1408" s="145"/>
      <c r="BC1408" s="145"/>
      <c r="BD1408" s="145"/>
      <c r="BE1408" s="145"/>
      <c r="BF1408" s="145"/>
      <c r="BG1408" s="145"/>
      <c r="BH1408" s="145"/>
      <c r="BI1408" s="145"/>
      <c r="BJ1408" s="145"/>
      <c r="BK1408" s="145"/>
    </row>
    <row r="1409" spans="1:63" s="147" customFormat="1" ht="15" x14ac:dyDescent="0.25">
      <c r="A1409" s="59"/>
      <c r="B1409" s="98"/>
      <c r="C1409" s="102" t="s">
        <v>63</v>
      </c>
      <c r="D1409" s="102"/>
      <c r="E1409" s="102"/>
      <c r="F1409" s="102"/>
      <c r="G1409" s="102"/>
      <c r="H1409" s="41"/>
      <c r="I1409" s="42"/>
      <c r="J1409" s="42"/>
      <c r="K1409" s="42"/>
      <c r="L1409" s="45"/>
      <c r="M1409" s="42"/>
      <c r="N1409" s="45"/>
      <c r="O1409" s="42"/>
      <c r="P1409" s="50">
        <v>13270.321499999998</v>
      </c>
      <c r="Q1409" s="82"/>
      <c r="R1409" s="82"/>
      <c r="S1409" s="82"/>
      <c r="T1409" s="82"/>
      <c r="U1409" s="156"/>
      <c r="V1409" s="82"/>
      <c r="W1409" s="175"/>
      <c r="X1409" s="82"/>
      <c r="Y1409" s="82"/>
      <c r="Z1409" s="82"/>
      <c r="AA1409" s="82"/>
      <c r="AB1409" s="145"/>
      <c r="AC1409" s="145"/>
      <c r="AD1409" s="145"/>
      <c r="AE1409" s="145"/>
      <c r="AF1409" s="145"/>
      <c r="AG1409" s="145"/>
      <c r="AH1409" s="145"/>
      <c r="AI1409" s="145"/>
      <c r="AJ1409" s="145"/>
      <c r="AK1409" s="145"/>
      <c r="AL1409" s="145"/>
      <c r="AM1409" s="145"/>
      <c r="AN1409" s="145"/>
      <c r="AO1409" s="145"/>
      <c r="AP1409" s="145"/>
      <c r="AQ1409" s="145"/>
      <c r="AR1409" s="145"/>
      <c r="AS1409" s="145"/>
      <c r="AT1409" s="145"/>
      <c r="AU1409" s="145"/>
      <c r="AV1409" s="146"/>
      <c r="AW1409" s="146"/>
      <c r="AX1409" s="146"/>
      <c r="AY1409" s="146"/>
      <c r="AZ1409" s="145"/>
      <c r="BA1409" s="146"/>
      <c r="BB1409" s="145"/>
      <c r="BC1409" s="145"/>
      <c r="BD1409" s="145"/>
      <c r="BE1409" s="145"/>
      <c r="BF1409" s="145"/>
      <c r="BG1409" s="145"/>
      <c r="BH1409" s="145"/>
      <c r="BI1409" s="145"/>
      <c r="BJ1409" s="145"/>
      <c r="BK1409" s="145"/>
    </row>
    <row r="1410" spans="1:63" s="147" customFormat="1" ht="15" x14ac:dyDescent="0.25">
      <c r="A1410" s="107" t="s">
        <v>210</v>
      </c>
      <c r="B1410" s="108"/>
      <c r="C1410" s="108"/>
      <c r="D1410" s="108"/>
      <c r="E1410" s="108"/>
      <c r="F1410" s="108"/>
      <c r="G1410" s="108"/>
      <c r="H1410" s="108"/>
      <c r="I1410" s="108"/>
      <c r="J1410" s="108"/>
      <c r="K1410" s="108"/>
      <c r="L1410" s="108"/>
      <c r="M1410" s="108"/>
      <c r="N1410" s="108"/>
      <c r="O1410" s="108"/>
      <c r="P1410" s="109"/>
      <c r="Q1410" s="82"/>
      <c r="R1410" s="82"/>
      <c r="S1410" s="82"/>
      <c r="T1410" s="82"/>
      <c r="U1410" s="82"/>
      <c r="V1410" s="82"/>
      <c r="W1410" s="151"/>
      <c r="X1410" s="82"/>
      <c r="Y1410" s="82"/>
      <c r="Z1410" s="82"/>
      <c r="AA1410" s="82"/>
      <c r="AB1410" s="145"/>
      <c r="AC1410" s="145"/>
      <c r="AD1410" s="145"/>
      <c r="AE1410" s="145"/>
      <c r="AF1410" s="145"/>
      <c r="AG1410" s="145"/>
      <c r="AH1410" s="145"/>
      <c r="AI1410" s="145"/>
      <c r="AJ1410" s="145"/>
      <c r="AK1410" s="145"/>
      <c r="AL1410" s="145"/>
      <c r="AM1410" s="145"/>
      <c r="AN1410" s="145"/>
      <c r="AO1410" s="145"/>
      <c r="AP1410" s="145"/>
      <c r="AQ1410" s="145"/>
      <c r="AR1410" s="145"/>
      <c r="AS1410" s="145"/>
      <c r="AT1410" s="145"/>
      <c r="AU1410" s="145"/>
      <c r="AV1410" s="146"/>
      <c r="AW1410" s="146"/>
      <c r="AX1410" s="146"/>
      <c r="AY1410" s="146"/>
      <c r="AZ1410" s="145"/>
      <c r="BA1410" s="146"/>
      <c r="BB1410" s="145"/>
      <c r="BC1410" s="145"/>
      <c r="BD1410" s="145"/>
      <c r="BE1410" s="145"/>
      <c r="BF1410" s="145"/>
      <c r="BG1410" s="145"/>
      <c r="BH1410" s="145"/>
      <c r="BI1410" s="145"/>
      <c r="BJ1410" s="145"/>
      <c r="BK1410" s="145"/>
    </row>
    <row r="1411" spans="1:63" s="147" customFormat="1" ht="15" x14ac:dyDescent="0.25">
      <c r="A1411" s="39" t="s">
        <v>873</v>
      </c>
      <c r="B1411" s="97" t="s">
        <v>212</v>
      </c>
      <c r="C1411" s="103" t="s">
        <v>213</v>
      </c>
      <c r="D1411" s="103"/>
      <c r="E1411" s="103"/>
      <c r="F1411" s="103"/>
      <c r="G1411" s="103"/>
      <c r="H1411" s="41" t="s">
        <v>214</v>
      </c>
      <c r="I1411" s="42">
        <v>0.1</v>
      </c>
      <c r="J1411" s="43">
        <v>1</v>
      </c>
      <c r="K1411" s="67">
        <v>0.1</v>
      </c>
      <c r="L1411" s="45"/>
      <c r="M1411" s="42"/>
      <c r="N1411" s="45"/>
      <c r="O1411" s="42"/>
      <c r="P1411" s="46"/>
      <c r="Q1411" s="82"/>
      <c r="R1411" s="82"/>
      <c r="S1411" s="82"/>
      <c r="T1411" s="82"/>
      <c r="U1411" s="82"/>
      <c r="V1411" s="82"/>
      <c r="W1411" s="175"/>
      <c r="X1411" s="82"/>
      <c r="Y1411" s="82"/>
      <c r="Z1411" s="82"/>
      <c r="AA1411" s="82"/>
      <c r="AB1411" s="145"/>
      <c r="AC1411" s="145"/>
      <c r="AD1411" s="145"/>
      <c r="AE1411" s="145"/>
      <c r="AF1411" s="145"/>
      <c r="AG1411" s="145"/>
      <c r="AH1411" s="145"/>
      <c r="AI1411" s="145"/>
      <c r="AJ1411" s="145"/>
      <c r="AK1411" s="145"/>
      <c r="AL1411" s="145"/>
      <c r="AM1411" s="145"/>
      <c r="AN1411" s="145"/>
      <c r="AO1411" s="145"/>
      <c r="AP1411" s="145"/>
      <c r="AQ1411" s="145"/>
      <c r="AR1411" s="145"/>
      <c r="AS1411" s="145"/>
      <c r="AT1411" s="145"/>
      <c r="AU1411" s="145"/>
      <c r="AV1411" s="146"/>
      <c r="AW1411" s="146"/>
      <c r="AX1411" s="146"/>
      <c r="AY1411" s="146"/>
      <c r="AZ1411" s="145"/>
      <c r="BA1411" s="146"/>
      <c r="BB1411" s="145"/>
      <c r="BC1411" s="145"/>
      <c r="BD1411" s="145"/>
      <c r="BE1411" s="145"/>
      <c r="BF1411" s="145"/>
      <c r="BG1411" s="145"/>
      <c r="BH1411" s="145"/>
      <c r="BI1411" s="145"/>
      <c r="BJ1411" s="145"/>
      <c r="BK1411" s="145"/>
    </row>
    <row r="1412" spans="1:63" s="147" customFormat="1" ht="15" x14ac:dyDescent="0.25">
      <c r="A1412" s="47"/>
      <c r="B1412" s="48"/>
      <c r="C1412" s="102" t="s">
        <v>56</v>
      </c>
      <c r="D1412" s="102"/>
      <c r="E1412" s="102"/>
      <c r="F1412" s="102"/>
      <c r="G1412" s="102"/>
      <c r="H1412" s="41"/>
      <c r="I1412" s="42"/>
      <c r="J1412" s="42"/>
      <c r="K1412" s="42"/>
      <c r="L1412" s="45"/>
      <c r="M1412" s="42"/>
      <c r="N1412" s="49"/>
      <c r="O1412" s="42"/>
      <c r="P1412" s="50">
        <v>442.25549999999998</v>
      </c>
      <c r="Q1412" s="157"/>
      <c r="R1412" s="157"/>
      <c r="S1412" s="82"/>
      <c r="T1412" s="82"/>
      <c r="U1412" s="156"/>
      <c r="V1412" s="82"/>
      <c r="W1412" s="151"/>
      <c r="X1412" s="82"/>
      <c r="Y1412" s="82"/>
      <c r="Z1412" s="82"/>
      <c r="AA1412" s="82"/>
      <c r="AB1412" s="145"/>
      <c r="AC1412" s="145"/>
      <c r="AD1412" s="145"/>
      <c r="AE1412" s="145"/>
      <c r="AF1412" s="145"/>
      <c r="AG1412" s="145"/>
      <c r="AH1412" s="145"/>
      <c r="AI1412" s="145"/>
      <c r="AJ1412" s="145"/>
      <c r="AK1412" s="145"/>
      <c r="AL1412" s="145"/>
      <c r="AM1412" s="145"/>
      <c r="AN1412" s="145"/>
      <c r="AO1412" s="145"/>
      <c r="AP1412" s="145"/>
      <c r="AQ1412" s="145"/>
      <c r="AR1412" s="145"/>
      <c r="AS1412" s="145"/>
      <c r="AT1412" s="145"/>
      <c r="AU1412" s="145"/>
      <c r="AV1412" s="146"/>
      <c r="AW1412" s="146"/>
      <c r="AX1412" s="146"/>
      <c r="AY1412" s="146"/>
      <c r="AZ1412" s="145"/>
      <c r="BA1412" s="146"/>
      <c r="BB1412" s="145"/>
      <c r="BC1412" s="145"/>
      <c r="BD1412" s="145"/>
      <c r="BE1412" s="145"/>
      <c r="BF1412" s="145"/>
      <c r="BG1412" s="145"/>
      <c r="BH1412" s="145"/>
      <c r="BI1412" s="145"/>
      <c r="BJ1412" s="145"/>
      <c r="BK1412" s="145"/>
    </row>
    <row r="1413" spans="1:63" s="147" customFormat="1" ht="15" x14ac:dyDescent="0.25">
      <c r="A1413" s="52"/>
      <c r="B1413" s="53"/>
      <c r="C1413" s="104" t="s">
        <v>57</v>
      </c>
      <c r="D1413" s="104"/>
      <c r="E1413" s="104"/>
      <c r="F1413" s="104"/>
      <c r="G1413" s="104"/>
      <c r="H1413" s="54"/>
      <c r="I1413" s="55"/>
      <c r="J1413" s="55"/>
      <c r="K1413" s="55"/>
      <c r="L1413" s="56"/>
      <c r="M1413" s="55"/>
      <c r="N1413" s="56"/>
      <c r="O1413" s="55"/>
      <c r="P1413" s="77">
        <v>389.29799999999994</v>
      </c>
      <c r="Q1413" s="82"/>
      <c r="R1413" s="82"/>
      <c r="S1413" s="82"/>
      <c r="T1413" s="82"/>
      <c r="U1413" s="170"/>
      <c r="V1413" s="82"/>
      <c r="W1413" s="160"/>
      <c r="X1413" s="82"/>
      <c r="Y1413" s="82"/>
      <c r="Z1413" s="82"/>
      <c r="AA1413" s="82"/>
      <c r="AB1413" s="145"/>
      <c r="AC1413" s="145"/>
      <c r="AD1413" s="145"/>
      <c r="AE1413" s="145"/>
      <c r="AF1413" s="145"/>
      <c r="AG1413" s="145"/>
      <c r="AH1413" s="145"/>
      <c r="AI1413" s="145"/>
      <c r="AJ1413" s="145"/>
      <c r="AK1413" s="145"/>
      <c r="AL1413" s="145"/>
      <c r="AM1413" s="145"/>
      <c r="AN1413" s="145"/>
      <c r="AO1413" s="145"/>
      <c r="AP1413" s="145"/>
      <c r="AQ1413" s="145"/>
      <c r="AR1413" s="145"/>
      <c r="AS1413" s="145"/>
      <c r="AT1413" s="145"/>
      <c r="AU1413" s="145"/>
      <c r="AV1413" s="146"/>
      <c r="AW1413" s="146"/>
      <c r="AX1413" s="146"/>
      <c r="AY1413" s="146"/>
      <c r="AZ1413" s="145"/>
      <c r="BA1413" s="146"/>
      <c r="BB1413" s="145"/>
      <c r="BC1413" s="145"/>
      <c r="BD1413" s="145"/>
      <c r="BE1413" s="145"/>
      <c r="BF1413" s="145"/>
      <c r="BG1413" s="145"/>
      <c r="BH1413" s="145"/>
      <c r="BI1413" s="145"/>
      <c r="BJ1413" s="145"/>
      <c r="BK1413" s="145"/>
    </row>
    <row r="1414" spans="1:63" s="147" customFormat="1" ht="15" x14ac:dyDescent="0.25">
      <c r="A1414" s="52"/>
      <c r="B1414" s="53" t="s">
        <v>215</v>
      </c>
      <c r="C1414" s="104" t="s">
        <v>216</v>
      </c>
      <c r="D1414" s="104"/>
      <c r="E1414" s="104"/>
      <c r="F1414" s="104"/>
      <c r="G1414" s="104"/>
      <c r="H1414" s="54" t="s">
        <v>60</v>
      </c>
      <c r="I1414" s="58">
        <v>121</v>
      </c>
      <c r="J1414" s="55"/>
      <c r="K1414" s="58">
        <v>121</v>
      </c>
      <c r="L1414" s="56"/>
      <c r="M1414" s="55"/>
      <c r="N1414" s="56"/>
      <c r="O1414" s="55"/>
      <c r="P1414" s="77">
        <v>471.05149999999998</v>
      </c>
      <c r="Q1414" s="82"/>
      <c r="R1414" s="82"/>
      <c r="S1414" s="82"/>
      <c r="T1414" s="82"/>
      <c r="U1414" s="170"/>
      <c r="V1414" s="82"/>
      <c r="W1414" s="164"/>
      <c r="X1414" s="82"/>
      <c r="Y1414" s="82"/>
      <c r="Z1414" s="82"/>
      <c r="AA1414" s="82"/>
      <c r="AB1414" s="145"/>
      <c r="AC1414" s="145"/>
      <c r="AD1414" s="145"/>
      <c r="AE1414" s="145"/>
      <c r="AF1414" s="145"/>
      <c r="AG1414" s="145"/>
      <c r="AH1414" s="145"/>
      <c r="AI1414" s="145"/>
      <c r="AJ1414" s="145"/>
      <c r="AK1414" s="145"/>
      <c r="AL1414" s="145"/>
      <c r="AM1414" s="145"/>
      <c r="AN1414" s="145"/>
      <c r="AO1414" s="145"/>
      <c r="AP1414" s="145"/>
      <c r="AQ1414" s="145"/>
      <c r="AR1414" s="145"/>
      <c r="AS1414" s="145"/>
      <c r="AT1414" s="145"/>
      <c r="AU1414" s="145"/>
      <c r="AV1414" s="146"/>
      <c r="AW1414" s="146"/>
      <c r="AX1414" s="146"/>
      <c r="AY1414" s="146"/>
      <c r="AZ1414" s="145"/>
      <c r="BA1414" s="146"/>
      <c r="BB1414" s="145"/>
      <c r="BC1414" s="145"/>
      <c r="BD1414" s="145"/>
      <c r="BE1414" s="145"/>
      <c r="BF1414" s="145"/>
      <c r="BG1414" s="145"/>
      <c r="BH1414" s="145"/>
      <c r="BI1414" s="145"/>
      <c r="BJ1414" s="145"/>
      <c r="BK1414" s="145"/>
    </row>
    <row r="1415" spans="1:63" s="147" customFormat="1" ht="15" x14ac:dyDescent="0.25">
      <c r="A1415" s="52"/>
      <c r="B1415" s="53" t="s">
        <v>217</v>
      </c>
      <c r="C1415" s="104" t="s">
        <v>218</v>
      </c>
      <c r="D1415" s="104"/>
      <c r="E1415" s="104"/>
      <c r="F1415" s="104"/>
      <c r="G1415" s="104"/>
      <c r="H1415" s="54" t="s">
        <v>60</v>
      </c>
      <c r="I1415" s="58">
        <v>72</v>
      </c>
      <c r="J1415" s="55"/>
      <c r="K1415" s="58">
        <v>72</v>
      </c>
      <c r="L1415" s="56"/>
      <c r="M1415" s="55"/>
      <c r="N1415" s="56"/>
      <c r="O1415" s="55"/>
      <c r="P1415" s="77">
        <v>280.28949999999998</v>
      </c>
      <c r="Q1415" s="82"/>
      <c r="R1415" s="82"/>
      <c r="S1415" s="82"/>
      <c r="T1415" s="82"/>
      <c r="U1415" s="170"/>
      <c r="V1415" s="82"/>
      <c r="W1415" s="164"/>
      <c r="X1415" s="82"/>
      <c r="Y1415" s="82"/>
      <c r="Z1415" s="82"/>
      <c r="AA1415" s="82"/>
      <c r="AB1415" s="145"/>
      <c r="AC1415" s="145"/>
      <c r="AD1415" s="145"/>
      <c r="AE1415" s="145"/>
      <c r="AF1415" s="145"/>
      <c r="AG1415" s="145"/>
      <c r="AH1415" s="145"/>
      <c r="AI1415" s="145"/>
      <c r="AJ1415" s="145"/>
      <c r="AK1415" s="145"/>
      <c r="AL1415" s="145"/>
      <c r="AM1415" s="145"/>
      <c r="AN1415" s="145"/>
      <c r="AO1415" s="145"/>
      <c r="AP1415" s="145"/>
      <c r="AQ1415" s="145"/>
      <c r="AR1415" s="145"/>
      <c r="AS1415" s="145"/>
      <c r="AT1415" s="145"/>
      <c r="AU1415" s="145"/>
      <c r="AV1415" s="146"/>
      <c r="AW1415" s="146"/>
      <c r="AX1415" s="146"/>
      <c r="AY1415" s="146"/>
      <c r="AZ1415" s="145"/>
      <c r="BA1415" s="146"/>
      <c r="BB1415" s="145"/>
      <c r="BC1415" s="145"/>
      <c r="BD1415" s="145"/>
      <c r="BE1415" s="145"/>
      <c r="BF1415" s="145"/>
      <c r="BG1415" s="145"/>
      <c r="BH1415" s="145"/>
      <c r="BI1415" s="145"/>
      <c r="BJ1415" s="145"/>
      <c r="BK1415" s="145"/>
    </row>
    <row r="1416" spans="1:63" s="147" customFormat="1" ht="15" x14ac:dyDescent="0.25">
      <c r="A1416" s="59"/>
      <c r="B1416" s="98"/>
      <c r="C1416" s="102" t="s">
        <v>63</v>
      </c>
      <c r="D1416" s="102"/>
      <c r="E1416" s="102"/>
      <c r="F1416" s="102"/>
      <c r="G1416" s="102"/>
      <c r="H1416" s="41"/>
      <c r="I1416" s="42"/>
      <c r="J1416" s="42"/>
      <c r="K1416" s="42"/>
      <c r="L1416" s="45"/>
      <c r="M1416" s="42"/>
      <c r="N1416" s="49">
        <v>10379.1</v>
      </c>
      <c r="O1416" s="42"/>
      <c r="P1416" s="50">
        <v>1193.5965000000001</v>
      </c>
      <c r="Q1416" s="82"/>
      <c r="R1416" s="82"/>
      <c r="S1416" s="82"/>
      <c r="T1416" s="82"/>
      <c r="U1416" s="156"/>
      <c r="V1416" s="82"/>
      <c r="W1416" s="151"/>
      <c r="X1416" s="82"/>
      <c r="Y1416" s="82"/>
      <c r="Z1416" s="82"/>
      <c r="AA1416" s="82"/>
      <c r="AB1416" s="145"/>
      <c r="AC1416" s="145"/>
      <c r="AD1416" s="145"/>
      <c r="AE1416" s="145"/>
      <c r="AF1416" s="145"/>
      <c r="AG1416" s="145"/>
      <c r="AH1416" s="145"/>
      <c r="AI1416" s="145"/>
      <c r="AJ1416" s="145"/>
      <c r="AK1416" s="145"/>
      <c r="AL1416" s="145"/>
      <c r="AM1416" s="145"/>
      <c r="AN1416" s="145"/>
      <c r="AO1416" s="145"/>
      <c r="AP1416" s="145"/>
      <c r="AQ1416" s="145"/>
      <c r="AR1416" s="145"/>
      <c r="AS1416" s="145"/>
      <c r="AT1416" s="145"/>
      <c r="AU1416" s="145"/>
      <c r="AV1416" s="146"/>
      <c r="AW1416" s="146"/>
      <c r="AX1416" s="146"/>
      <c r="AY1416" s="146"/>
      <c r="AZ1416" s="145"/>
      <c r="BA1416" s="146"/>
      <c r="BB1416" s="145"/>
      <c r="BC1416" s="145"/>
      <c r="BD1416" s="145"/>
      <c r="BE1416" s="145"/>
      <c r="BF1416" s="145"/>
      <c r="BG1416" s="145"/>
      <c r="BH1416" s="145"/>
      <c r="BI1416" s="145"/>
      <c r="BJ1416" s="145"/>
      <c r="BK1416" s="145"/>
    </row>
    <row r="1417" spans="1:63" s="147" customFormat="1" ht="15" x14ac:dyDescent="0.25">
      <c r="A1417" s="39" t="s">
        <v>874</v>
      </c>
      <c r="B1417" s="97" t="s">
        <v>220</v>
      </c>
      <c r="C1417" s="103" t="s">
        <v>221</v>
      </c>
      <c r="D1417" s="103"/>
      <c r="E1417" s="103"/>
      <c r="F1417" s="103"/>
      <c r="G1417" s="103"/>
      <c r="H1417" s="41" t="s">
        <v>222</v>
      </c>
      <c r="I1417" s="42">
        <v>1</v>
      </c>
      <c r="J1417" s="43">
        <v>1</v>
      </c>
      <c r="K1417" s="43">
        <v>1</v>
      </c>
      <c r="L1417" s="49">
        <v>8514.9500000000007</v>
      </c>
      <c r="M1417" s="62">
        <v>1.17</v>
      </c>
      <c r="N1417" s="49">
        <v>9962.49</v>
      </c>
      <c r="O1417" s="42"/>
      <c r="P1417" s="50">
        <v>11456.863499999999</v>
      </c>
      <c r="Q1417" s="82"/>
      <c r="R1417" s="82"/>
      <c r="S1417" s="82"/>
      <c r="T1417" s="82"/>
      <c r="U1417" s="156"/>
      <c r="V1417" s="82"/>
      <c r="W1417" s="152"/>
      <c r="X1417" s="82"/>
      <c r="Y1417" s="82"/>
      <c r="Z1417" s="82"/>
      <c r="AA1417" s="82"/>
      <c r="AB1417" s="145"/>
      <c r="AC1417" s="145"/>
      <c r="AD1417" s="145"/>
      <c r="AE1417" s="145"/>
      <c r="AF1417" s="145"/>
      <c r="AG1417" s="145"/>
      <c r="AH1417" s="145"/>
      <c r="AI1417" s="145"/>
      <c r="AJ1417" s="145"/>
      <c r="AK1417" s="145"/>
      <c r="AL1417" s="145"/>
      <c r="AM1417" s="145"/>
      <c r="AN1417" s="145"/>
      <c r="AO1417" s="145"/>
      <c r="AP1417" s="145"/>
      <c r="AQ1417" s="145"/>
      <c r="AR1417" s="145"/>
      <c r="AS1417" s="145"/>
      <c r="AT1417" s="145"/>
      <c r="AU1417" s="145"/>
      <c r="AV1417" s="146"/>
      <c r="AW1417" s="146"/>
      <c r="AX1417" s="146"/>
      <c r="AY1417" s="146"/>
      <c r="AZ1417" s="145"/>
      <c r="BA1417" s="146"/>
      <c r="BB1417" s="145"/>
      <c r="BC1417" s="145"/>
      <c r="BD1417" s="145"/>
      <c r="BE1417" s="145"/>
      <c r="BF1417" s="145"/>
      <c r="BG1417" s="145"/>
      <c r="BH1417" s="145"/>
      <c r="BI1417" s="145"/>
      <c r="BJ1417" s="145"/>
      <c r="BK1417" s="145"/>
    </row>
    <row r="1418" spans="1:63" s="147" customFormat="1" ht="15" x14ac:dyDescent="0.25">
      <c r="A1418" s="59"/>
      <c r="B1418" s="98"/>
      <c r="C1418" s="102" t="s">
        <v>63</v>
      </c>
      <c r="D1418" s="102"/>
      <c r="E1418" s="102"/>
      <c r="F1418" s="102"/>
      <c r="G1418" s="102"/>
      <c r="H1418" s="41"/>
      <c r="I1418" s="42"/>
      <c r="J1418" s="42"/>
      <c r="K1418" s="42"/>
      <c r="L1418" s="45"/>
      <c r="M1418" s="42"/>
      <c r="N1418" s="45"/>
      <c r="O1418" s="42"/>
      <c r="P1418" s="50">
        <v>11456.863499999999</v>
      </c>
      <c r="Q1418" s="82"/>
      <c r="R1418" s="82"/>
      <c r="S1418" s="82"/>
      <c r="T1418" s="82"/>
      <c r="U1418" s="156"/>
      <c r="V1418" s="82"/>
      <c r="W1418" s="151"/>
      <c r="X1418" s="82"/>
      <c r="Y1418" s="82"/>
      <c r="Z1418" s="82"/>
      <c r="AA1418" s="82"/>
      <c r="AB1418" s="145"/>
      <c r="AC1418" s="145"/>
      <c r="AD1418" s="145"/>
      <c r="AE1418" s="145"/>
      <c r="AF1418" s="145"/>
      <c r="AG1418" s="145"/>
      <c r="AH1418" s="145"/>
      <c r="AI1418" s="145"/>
      <c r="AJ1418" s="145"/>
      <c r="AK1418" s="145"/>
      <c r="AL1418" s="145"/>
      <c r="AM1418" s="145"/>
      <c r="AN1418" s="145"/>
      <c r="AO1418" s="145"/>
      <c r="AP1418" s="145"/>
      <c r="AQ1418" s="145"/>
      <c r="AR1418" s="145"/>
      <c r="AS1418" s="145"/>
      <c r="AT1418" s="145"/>
      <c r="AU1418" s="145"/>
      <c r="AV1418" s="146"/>
      <c r="AW1418" s="146"/>
      <c r="AX1418" s="146"/>
      <c r="AY1418" s="146"/>
      <c r="AZ1418" s="145"/>
      <c r="BA1418" s="146"/>
      <c r="BB1418" s="145"/>
      <c r="BC1418" s="145"/>
      <c r="BD1418" s="145"/>
      <c r="BE1418" s="145"/>
      <c r="BF1418" s="145"/>
      <c r="BG1418" s="145"/>
      <c r="BH1418" s="145"/>
      <c r="BI1418" s="145"/>
      <c r="BJ1418" s="145"/>
      <c r="BK1418" s="145"/>
    </row>
    <row r="1419" spans="1:63" s="147" customFormat="1" ht="15" x14ac:dyDescent="0.25">
      <c r="A1419" s="39" t="s">
        <v>875</v>
      </c>
      <c r="B1419" s="97" t="s">
        <v>306</v>
      </c>
      <c r="C1419" s="103" t="s">
        <v>307</v>
      </c>
      <c r="D1419" s="103"/>
      <c r="E1419" s="103"/>
      <c r="F1419" s="103"/>
      <c r="G1419" s="103"/>
      <c r="H1419" s="41" t="s">
        <v>75</v>
      </c>
      <c r="I1419" s="42">
        <v>0.03</v>
      </c>
      <c r="J1419" s="43">
        <v>1</v>
      </c>
      <c r="K1419" s="62">
        <v>0.03</v>
      </c>
      <c r="L1419" s="45"/>
      <c r="M1419" s="42"/>
      <c r="N1419" s="45"/>
      <c r="O1419" s="42"/>
      <c r="P1419" s="50"/>
      <c r="Q1419" s="82"/>
      <c r="R1419" s="82"/>
      <c r="S1419" s="82"/>
      <c r="T1419" s="82"/>
      <c r="U1419" s="153"/>
      <c r="V1419" s="82"/>
      <c r="W1419" s="168"/>
      <c r="X1419" s="82"/>
      <c r="Y1419" s="82"/>
      <c r="Z1419" s="82"/>
      <c r="AA1419" s="82"/>
      <c r="AB1419" s="145"/>
      <c r="AC1419" s="145"/>
      <c r="AD1419" s="145"/>
      <c r="AE1419" s="145"/>
      <c r="AF1419" s="145"/>
      <c r="AG1419" s="145"/>
      <c r="AH1419" s="145"/>
      <c r="AI1419" s="145"/>
      <c r="AJ1419" s="145"/>
      <c r="AK1419" s="145"/>
      <c r="AL1419" s="145"/>
      <c r="AM1419" s="145"/>
      <c r="AN1419" s="145"/>
      <c r="AO1419" s="145"/>
      <c r="AP1419" s="145"/>
      <c r="AQ1419" s="145"/>
      <c r="AR1419" s="145"/>
      <c r="AS1419" s="145"/>
      <c r="AT1419" s="145"/>
      <c r="AU1419" s="145"/>
      <c r="AV1419" s="146"/>
      <c r="AW1419" s="146"/>
      <c r="AX1419" s="146"/>
      <c r="AY1419" s="146"/>
      <c r="AZ1419" s="145"/>
      <c r="BA1419" s="146"/>
      <c r="BB1419" s="145"/>
      <c r="BC1419" s="145"/>
      <c r="BD1419" s="145"/>
      <c r="BE1419" s="145"/>
      <c r="BF1419" s="145"/>
      <c r="BG1419" s="145"/>
      <c r="BH1419" s="145"/>
      <c r="BI1419" s="145"/>
      <c r="BJ1419" s="145"/>
      <c r="BK1419" s="145"/>
    </row>
    <row r="1420" spans="1:63" s="147" customFormat="1" ht="15" x14ac:dyDescent="0.25">
      <c r="A1420" s="47"/>
      <c r="B1420" s="48"/>
      <c r="C1420" s="102" t="s">
        <v>56</v>
      </c>
      <c r="D1420" s="102"/>
      <c r="E1420" s="102"/>
      <c r="F1420" s="102"/>
      <c r="G1420" s="102"/>
      <c r="H1420" s="41"/>
      <c r="I1420" s="42"/>
      <c r="J1420" s="42"/>
      <c r="K1420" s="42"/>
      <c r="L1420" s="45"/>
      <c r="M1420" s="42"/>
      <c r="N1420" s="49"/>
      <c r="O1420" s="42"/>
      <c r="P1420" s="50">
        <v>3628.2</v>
      </c>
      <c r="Q1420" s="157"/>
      <c r="R1420" s="157"/>
      <c r="S1420" s="82"/>
      <c r="T1420" s="82"/>
      <c r="U1420" s="156"/>
      <c r="V1420" s="82"/>
      <c r="W1420" s="151"/>
      <c r="X1420" s="82"/>
      <c r="Y1420" s="82"/>
      <c r="Z1420" s="82"/>
      <c r="AA1420" s="82"/>
      <c r="AB1420" s="145"/>
      <c r="AC1420" s="145"/>
      <c r="AD1420" s="145"/>
      <c r="AE1420" s="145"/>
      <c r="AF1420" s="145"/>
      <c r="AG1420" s="145"/>
      <c r="AH1420" s="145"/>
      <c r="AI1420" s="145"/>
      <c r="AJ1420" s="145"/>
      <c r="AK1420" s="145"/>
      <c r="AL1420" s="145"/>
      <c r="AM1420" s="145"/>
      <c r="AN1420" s="145"/>
      <c r="AO1420" s="145"/>
      <c r="AP1420" s="145"/>
      <c r="AQ1420" s="145"/>
      <c r="AR1420" s="145"/>
      <c r="AS1420" s="145"/>
      <c r="AT1420" s="145"/>
      <c r="AU1420" s="145"/>
      <c r="AV1420" s="146"/>
      <c r="AW1420" s="146"/>
      <c r="AX1420" s="146"/>
      <c r="AY1420" s="146"/>
      <c r="AZ1420" s="145"/>
      <c r="BA1420" s="146"/>
      <c r="BB1420" s="145"/>
      <c r="BC1420" s="145"/>
      <c r="BD1420" s="145"/>
      <c r="BE1420" s="145"/>
      <c r="BF1420" s="145"/>
      <c r="BG1420" s="145"/>
      <c r="BH1420" s="145"/>
      <c r="BI1420" s="145"/>
      <c r="BJ1420" s="145"/>
      <c r="BK1420" s="145"/>
    </row>
    <row r="1421" spans="1:63" s="147" customFormat="1" ht="15" x14ac:dyDescent="0.25">
      <c r="A1421" s="52"/>
      <c r="B1421" s="53"/>
      <c r="C1421" s="104" t="s">
        <v>57</v>
      </c>
      <c r="D1421" s="104"/>
      <c r="E1421" s="104"/>
      <c r="F1421" s="104"/>
      <c r="G1421" s="104"/>
      <c r="H1421" s="54"/>
      <c r="I1421" s="55"/>
      <c r="J1421" s="55"/>
      <c r="K1421" s="55"/>
      <c r="L1421" s="56"/>
      <c r="M1421" s="55"/>
      <c r="N1421" s="56"/>
      <c r="O1421" s="55"/>
      <c r="P1421" s="77"/>
      <c r="Q1421" s="82"/>
      <c r="R1421" s="82"/>
      <c r="S1421" s="82"/>
      <c r="T1421" s="82"/>
      <c r="U1421" s="163"/>
      <c r="V1421" s="82"/>
      <c r="W1421" s="160"/>
      <c r="X1421" s="82"/>
      <c r="Y1421" s="82"/>
      <c r="Z1421" s="82"/>
      <c r="AA1421" s="82"/>
      <c r="AB1421" s="145"/>
      <c r="AC1421" s="145"/>
      <c r="AD1421" s="145"/>
      <c r="AE1421" s="145"/>
      <c r="AF1421" s="145"/>
      <c r="AG1421" s="145"/>
      <c r="AH1421" s="145"/>
      <c r="AI1421" s="145"/>
      <c r="AJ1421" s="145"/>
      <c r="AK1421" s="145"/>
      <c r="AL1421" s="145"/>
      <c r="AM1421" s="145"/>
      <c r="AN1421" s="145"/>
      <c r="AO1421" s="145"/>
      <c r="AP1421" s="145"/>
      <c r="AQ1421" s="145"/>
      <c r="AR1421" s="145"/>
      <c r="AS1421" s="145"/>
      <c r="AT1421" s="145"/>
      <c r="AU1421" s="145"/>
      <c r="AV1421" s="146"/>
      <c r="AW1421" s="146"/>
      <c r="AX1421" s="146"/>
      <c r="AY1421" s="146"/>
      <c r="AZ1421" s="145"/>
      <c r="BA1421" s="146"/>
      <c r="BB1421" s="145"/>
      <c r="BC1421" s="145"/>
      <c r="BD1421" s="145"/>
      <c r="BE1421" s="145"/>
      <c r="BF1421" s="145"/>
      <c r="BG1421" s="145"/>
      <c r="BH1421" s="145"/>
      <c r="BI1421" s="145"/>
      <c r="BJ1421" s="145"/>
      <c r="BK1421" s="145"/>
    </row>
    <row r="1422" spans="1:63" s="147" customFormat="1" ht="15" x14ac:dyDescent="0.25">
      <c r="A1422" s="52"/>
      <c r="B1422" s="53" t="s">
        <v>225</v>
      </c>
      <c r="C1422" s="104" t="s">
        <v>226</v>
      </c>
      <c r="D1422" s="104"/>
      <c r="E1422" s="104"/>
      <c r="F1422" s="104"/>
      <c r="G1422" s="104"/>
      <c r="H1422" s="54" t="s">
        <v>60</v>
      </c>
      <c r="I1422" s="58">
        <v>103</v>
      </c>
      <c r="J1422" s="55"/>
      <c r="K1422" s="58">
        <v>103</v>
      </c>
      <c r="L1422" s="56"/>
      <c r="M1422" s="55"/>
      <c r="N1422" s="56"/>
      <c r="O1422" s="55"/>
      <c r="P1422" s="77"/>
      <c r="Q1422" s="82"/>
      <c r="R1422" s="82"/>
      <c r="S1422" s="82"/>
      <c r="T1422" s="82"/>
      <c r="U1422" s="163"/>
      <c r="V1422" s="82"/>
      <c r="W1422" s="164"/>
      <c r="X1422" s="82"/>
      <c r="Y1422" s="82"/>
      <c r="Z1422" s="82"/>
      <c r="AA1422" s="82"/>
      <c r="AB1422" s="145"/>
      <c r="AC1422" s="145"/>
      <c r="AD1422" s="145"/>
      <c r="AE1422" s="145"/>
      <c r="AF1422" s="145"/>
      <c r="AG1422" s="145"/>
      <c r="AH1422" s="145"/>
      <c r="AI1422" s="145"/>
      <c r="AJ1422" s="145"/>
      <c r="AK1422" s="145"/>
      <c r="AL1422" s="145"/>
      <c r="AM1422" s="145"/>
      <c r="AN1422" s="145"/>
      <c r="AO1422" s="145"/>
      <c r="AP1422" s="145"/>
      <c r="AQ1422" s="145"/>
      <c r="AR1422" s="145"/>
      <c r="AS1422" s="145"/>
      <c r="AT1422" s="145"/>
      <c r="AU1422" s="145"/>
      <c r="AV1422" s="146"/>
      <c r="AW1422" s="146"/>
      <c r="AX1422" s="146"/>
      <c r="AY1422" s="146"/>
      <c r="AZ1422" s="145"/>
      <c r="BA1422" s="146"/>
      <c r="BB1422" s="145"/>
      <c r="BC1422" s="145"/>
      <c r="BD1422" s="145"/>
      <c r="BE1422" s="145"/>
      <c r="BF1422" s="145"/>
      <c r="BG1422" s="145"/>
      <c r="BH1422" s="145"/>
      <c r="BI1422" s="145"/>
      <c r="BJ1422" s="145"/>
      <c r="BK1422" s="145"/>
    </row>
    <row r="1423" spans="1:63" s="147" customFormat="1" ht="15" x14ac:dyDescent="0.25">
      <c r="A1423" s="52"/>
      <c r="B1423" s="53" t="s">
        <v>227</v>
      </c>
      <c r="C1423" s="104" t="s">
        <v>228</v>
      </c>
      <c r="D1423" s="104"/>
      <c r="E1423" s="104"/>
      <c r="F1423" s="104"/>
      <c r="G1423" s="104"/>
      <c r="H1423" s="54" t="s">
        <v>60</v>
      </c>
      <c r="I1423" s="58">
        <v>52</v>
      </c>
      <c r="J1423" s="55"/>
      <c r="K1423" s="58">
        <v>52</v>
      </c>
      <c r="L1423" s="56"/>
      <c r="M1423" s="55"/>
      <c r="N1423" s="56"/>
      <c r="O1423" s="55"/>
      <c r="P1423" s="77">
        <v>8594.8239999999987</v>
      </c>
      <c r="Q1423" s="82"/>
      <c r="R1423" s="82"/>
      <c r="S1423" s="82"/>
      <c r="T1423" s="82"/>
      <c r="U1423" s="163"/>
      <c r="V1423" s="82"/>
      <c r="W1423" s="164"/>
      <c r="X1423" s="82"/>
      <c r="Y1423" s="82"/>
      <c r="Z1423" s="82"/>
      <c r="AA1423" s="82"/>
      <c r="AB1423" s="145"/>
      <c r="AC1423" s="145"/>
      <c r="AD1423" s="145"/>
      <c r="AE1423" s="145"/>
      <c r="AF1423" s="145"/>
      <c r="AG1423" s="145"/>
      <c r="AH1423" s="145"/>
      <c r="AI1423" s="145"/>
      <c r="AJ1423" s="145"/>
      <c r="AK1423" s="145"/>
      <c r="AL1423" s="145"/>
      <c r="AM1423" s="145"/>
      <c r="AN1423" s="145"/>
      <c r="AO1423" s="145"/>
      <c r="AP1423" s="145"/>
      <c r="AQ1423" s="145"/>
      <c r="AR1423" s="145"/>
      <c r="AS1423" s="145"/>
      <c r="AT1423" s="145"/>
      <c r="AU1423" s="145"/>
      <c r="AV1423" s="146"/>
      <c r="AW1423" s="146"/>
      <c r="AX1423" s="146"/>
      <c r="AY1423" s="146"/>
      <c r="AZ1423" s="145"/>
      <c r="BA1423" s="146"/>
      <c r="BB1423" s="145"/>
      <c r="BC1423" s="145"/>
      <c r="BD1423" s="145"/>
      <c r="BE1423" s="145"/>
      <c r="BF1423" s="145"/>
      <c r="BG1423" s="145"/>
      <c r="BH1423" s="145"/>
      <c r="BI1423" s="145"/>
      <c r="BJ1423" s="145"/>
      <c r="BK1423" s="145"/>
    </row>
    <row r="1424" spans="1:63" s="147" customFormat="1" ht="15" x14ac:dyDescent="0.25">
      <c r="A1424" s="59"/>
      <c r="B1424" s="98"/>
      <c r="C1424" s="102" t="s">
        <v>63</v>
      </c>
      <c r="D1424" s="102"/>
      <c r="E1424" s="102"/>
      <c r="F1424" s="102"/>
      <c r="G1424" s="102"/>
      <c r="H1424" s="41"/>
      <c r="I1424" s="42"/>
      <c r="J1424" s="42"/>
      <c r="K1424" s="42"/>
      <c r="L1424" s="45"/>
      <c r="M1424" s="42"/>
      <c r="N1424" s="49">
        <v>1837308.5</v>
      </c>
      <c r="O1424" s="42"/>
      <c r="P1424" s="50">
        <v>10884.599999999999</v>
      </c>
      <c r="Q1424" s="82"/>
      <c r="R1424" s="82"/>
      <c r="S1424" s="82"/>
      <c r="T1424" s="82"/>
      <c r="U1424" s="156"/>
      <c r="V1424" s="82"/>
      <c r="W1424" s="151"/>
      <c r="X1424" s="82"/>
      <c r="Y1424" s="82"/>
      <c r="Z1424" s="82"/>
      <c r="AA1424" s="82"/>
      <c r="AB1424" s="145"/>
      <c r="AC1424" s="145"/>
      <c r="AD1424" s="145"/>
      <c r="AE1424" s="145"/>
      <c r="AF1424" s="145"/>
      <c r="AG1424" s="145"/>
      <c r="AH1424" s="145"/>
      <c r="AI1424" s="145"/>
      <c r="AJ1424" s="145"/>
      <c r="AK1424" s="145"/>
      <c r="AL1424" s="145"/>
      <c r="AM1424" s="145"/>
      <c r="AN1424" s="145"/>
      <c r="AO1424" s="145"/>
      <c r="AP1424" s="145"/>
      <c r="AQ1424" s="145"/>
      <c r="AR1424" s="145"/>
      <c r="AS1424" s="145"/>
      <c r="AT1424" s="145"/>
      <c r="AU1424" s="145"/>
      <c r="AV1424" s="146"/>
      <c r="AW1424" s="146"/>
      <c r="AX1424" s="146"/>
      <c r="AY1424" s="146"/>
      <c r="AZ1424" s="145"/>
      <c r="BA1424" s="146"/>
      <c r="BB1424" s="145"/>
      <c r="BC1424" s="145"/>
      <c r="BD1424" s="145"/>
      <c r="BE1424" s="145"/>
      <c r="BF1424" s="145"/>
      <c r="BG1424" s="145"/>
      <c r="BH1424" s="145"/>
      <c r="BI1424" s="145"/>
      <c r="BJ1424" s="145"/>
      <c r="BK1424" s="145"/>
    </row>
    <row r="1425" spans="1:63" s="147" customFormat="1" ht="15" x14ac:dyDescent="0.25">
      <c r="A1425" s="39" t="s">
        <v>876</v>
      </c>
      <c r="B1425" s="97" t="s">
        <v>230</v>
      </c>
      <c r="C1425" s="105" t="s">
        <v>316</v>
      </c>
      <c r="D1425" s="105"/>
      <c r="E1425" s="105"/>
      <c r="F1425" s="105"/>
      <c r="G1425" s="105"/>
      <c r="H1425" s="41" t="s">
        <v>222</v>
      </c>
      <c r="I1425" s="42">
        <v>3</v>
      </c>
      <c r="J1425" s="43">
        <v>1</v>
      </c>
      <c r="K1425" s="43">
        <v>3</v>
      </c>
      <c r="L1425" s="49">
        <v>3432.22</v>
      </c>
      <c r="M1425" s="67">
        <v>1.3</v>
      </c>
      <c r="N1425" s="49">
        <f>4461.89+1500</f>
        <v>5961.89</v>
      </c>
      <c r="O1425" s="42"/>
      <c r="P1425" s="50">
        <v>21762.346999999998</v>
      </c>
      <c r="Q1425" s="82"/>
      <c r="R1425" s="82"/>
      <c r="S1425" s="82"/>
      <c r="T1425" s="82"/>
      <c r="U1425" s="156"/>
      <c r="V1425" s="82"/>
      <c r="W1425" s="152"/>
      <c r="X1425" s="82"/>
      <c r="Y1425" s="82"/>
      <c r="Z1425" s="82"/>
      <c r="AA1425" s="82"/>
      <c r="AB1425" s="145"/>
      <c r="AC1425" s="145"/>
      <c r="AD1425" s="145"/>
      <c r="AE1425" s="145"/>
      <c r="AF1425" s="145"/>
      <c r="AG1425" s="145"/>
      <c r="AH1425" s="145"/>
      <c r="AI1425" s="145"/>
      <c r="AJ1425" s="145"/>
      <c r="AK1425" s="145"/>
      <c r="AL1425" s="145"/>
      <c r="AM1425" s="145"/>
      <c r="AN1425" s="145"/>
      <c r="AO1425" s="145"/>
      <c r="AP1425" s="145"/>
      <c r="AQ1425" s="145"/>
      <c r="AR1425" s="145"/>
      <c r="AS1425" s="145"/>
      <c r="AT1425" s="145"/>
      <c r="AU1425" s="145"/>
      <c r="AV1425" s="146"/>
      <c r="AW1425" s="146"/>
      <c r="AX1425" s="146"/>
      <c r="AY1425" s="146"/>
      <c r="AZ1425" s="145"/>
      <c r="BA1425" s="146"/>
      <c r="BB1425" s="145"/>
      <c r="BC1425" s="145"/>
      <c r="BD1425" s="145"/>
      <c r="BE1425" s="145"/>
      <c r="BF1425" s="145"/>
      <c r="BG1425" s="145"/>
      <c r="BH1425" s="145"/>
      <c r="BI1425" s="145"/>
      <c r="BJ1425" s="145"/>
      <c r="BK1425" s="145"/>
    </row>
    <row r="1426" spans="1:63" s="147" customFormat="1" ht="15" x14ac:dyDescent="0.25">
      <c r="A1426" s="59"/>
      <c r="B1426" s="98"/>
      <c r="C1426" s="106" t="s">
        <v>63</v>
      </c>
      <c r="D1426" s="106"/>
      <c r="E1426" s="106"/>
      <c r="F1426" s="106"/>
      <c r="G1426" s="106"/>
      <c r="H1426" s="41"/>
      <c r="I1426" s="42"/>
      <c r="J1426" s="42"/>
      <c r="K1426" s="42"/>
      <c r="L1426" s="45"/>
      <c r="M1426" s="42"/>
      <c r="N1426" s="45"/>
      <c r="O1426" s="42"/>
      <c r="P1426" s="50">
        <v>21762.346999999998</v>
      </c>
      <c r="Q1426" s="82"/>
      <c r="R1426" s="82"/>
      <c r="S1426" s="82"/>
      <c r="T1426" s="82"/>
      <c r="U1426" s="156"/>
      <c r="V1426" s="82"/>
      <c r="W1426" s="151"/>
      <c r="X1426" s="82"/>
      <c r="Y1426" s="82"/>
      <c r="Z1426" s="82"/>
      <c r="AA1426" s="82"/>
      <c r="AB1426" s="145"/>
      <c r="AC1426" s="145"/>
      <c r="AD1426" s="145"/>
      <c r="AE1426" s="145"/>
      <c r="AF1426" s="145"/>
      <c r="AG1426" s="145"/>
      <c r="AH1426" s="145"/>
      <c r="AI1426" s="145"/>
      <c r="AJ1426" s="145"/>
      <c r="AK1426" s="145"/>
      <c r="AL1426" s="145"/>
      <c r="AM1426" s="145"/>
      <c r="AN1426" s="145"/>
      <c r="AO1426" s="145"/>
      <c r="AP1426" s="145"/>
      <c r="AQ1426" s="145"/>
      <c r="AR1426" s="145"/>
      <c r="AS1426" s="145"/>
      <c r="AT1426" s="145"/>
      <c r="AU1426" s="145"/>
      <c r="AV1426" s="146"/>
      <c r="AW1426" s="146"/>
      <c r="AX1426" s="146"/>
      <c r="AY1426" s="146"/>
      <c r="AZ1426" s="145"/>
      <c r="BA1426" s="146"/>
      <c r="BB1426" s="145"/>
      <c r="BC1426" s="145"/>
      <c r="BD1426" s="145"/>
      <c r="BE1426" s="145"/>
      <c r="BF1426" s="145"/>
      <c r="BG1426" s="145"/>
      <c r="BH1426" s="145"/>
      <c r="BI1426" s="145"/>
      <c r="BJ1426" s="145"/>
      <c r="BK1426" s="145"/>
    </row>
    <row r="1427" spans="1:63" s="147" customFormat="1" ht="15" x14ac:dyDescent="0.25">
      <c r="A1427" s="39" t="s">
        <v>877</v>
      </c>
      <c r="B1427" s="97" t="s">
        <v>233</v>
      </c>
      <c r="C1427" s="103" t="s">
        <v>234</v>
      </c>
      <c r="D1427" s="103"/>
      <c r="E1427" s="103"/>
      <c r="F1427" s="103"/>
      <c r="G1427" s="103"/>
      <c r="H1427" s="41" t="s">
        <v>75</v>
      </c>
      <c r="I1427" s="42">
        <v>0.03</v>
      </c>
      <c r="J1427" s="43">
        <v>1</v>
      </c>
      <c r="K1427" s="62">
        <v>0.03</v>
      </c>
      <c r="L1427" s="45"/>
      <c r="M1427" s="42"/>
      <c r="N1427" s="45"/>
      <c r="O1427" s="42"/>
      <c r="P1427" s="50"/>
      <c r="Q1427" s="82"/>
      <c r="R1427" s="82"/>
      <c r="S1427" s="82"/>
      <c r="T1427" s="82"/>
      <c r="U1427" s="153"/>
      <c r="V1427" s="82"/>
      <c r="W1427" s="168"/>
      <c r="X1427" s="82"/>
      <c r="Y1427" s="82"/>
      <c r="Z1427" s="82"/>
      <c r="AA1427" s="82"/>
      <c r="AB1427" s="145"/>
      <c r="AC1427" s="145"/>
      <c r="AD1427" s="145"/>
      <c r="AE1427" s="145"/>
      <c r="AF1427" s="145"/>
      <c r="AG1427" s="145"/>
      <c r="AH1427" s="145"/>
      <c r="AI1427" s="145"/>
      <c r="AJ1427" s="145"/>
      <c r="AK1427" s="145"/>
      <c r="AL1427" s="145"/>
      <c r="AM1427" s="145"/>
      <c r="AN1427" s="145"/>
      <c r="AO1427" s="145"/>
      <c r="AP1427" s="145"/>
      <c r="AQ1427" s="145"/>
      <c r="AR1427" s="145"/>
      <c r="AS1427" s="145"/>
      <c r="AT1427" s="145"/>
      <c r="AU1427" s="145"/>
      <c r="AV1427" s="146"/>
      <c r="AW1427" s="146"/>
      <c r="AX1427" s="146"/>
      <c r="AY1427" s="146"/>
      <c r="AZ1427" s="145"/>
      <c r="BA1427" s="146"/>
      <c r="BB1427" s="145"/>
      <c r="BC1427" s="145"/>
      <c r="BD1427" s="145"/>
      <c r="BE1427" s="145"/>
      <c r="BF1427" s="145"/>
      <c r="BG1427" s="145"/>
      <c r="BH1427" s="145"/>
      <c r="BI1427" s="145"/>
      <c r="BJ1427" s="145"/>
      <c r="BK1427" s="145"/>
    </row>
    <row r="1428" spans="1:63" s="147" customFormat="1" ht="15" x14ac:dyDescent="0.25">
      <c r="A1428" s="47"/>
      <c r="B1428" s="48"/>
      <c r="C1428" s="102" t="s">
        <v>56</v>
      </c>
      <c r="D1428" s="102"/>
      <c r="E1428" s="102"/>
      <c r="F1428" s="102"/>
      <c r="G1428" s="102"/>
      <c r="H1428" s="41"/>
      <c r="I1428" s="42"/>
      <c r="J1428" s="42"/>
      <c r="K1428" s="42"/>
      <c r="L1428" s="45"/>
      <c r="M1428" s="42"/>
      <c r="N1428" s="49"/>
      <c r="O1428" s="42"/>
      <c r="P1428" s="50">
        <v>951.78599999999994</v>
      </c>
      <c r="Q1428" s="157"/>
      <c r="R1428" s="157"/>
      <c r="S1428" s="82"/>
      <c r="T1428" s="82"/>
      <c r="U1428" s="156"/>
      <c r="V1428" s="82"/>
      <c r="W1428" s="151"/>
      <c r="X1428" s="82"/>
      <c r="Y1428" s="82"/>
      <c r="Z1428" s="82"/>
      <c r="AA1428" s="82"/>
      <c r="AB1428" s="145"/>
      <c r="AC1428" s="145"/>
      <c r="AD1428" s="145"/>
      <c r="AE1428" s="145"/>
      <c r="AF1428" s="145"/>
      <c r="AG1428" s="145"/>
      <c r="AH1428" s="145"/>
      <c r="AI1428" s="145"/>
      <c r="AJ1428" s="145"/>
      <c r="AK1428" s="145"/>
      <c r="AL1428" s="145"/>
      <c r="AM1428" s="145"/>
      <c r="AN1428" s="145"/>
      <c r="AO1428" s="145"/>
      <c r="AP1428" s="145"/>
      <c r="AQ1428" s="145"/>
      <c r="AR1428" s="145"/>
      <c r="AS1428" s="145"/>
      <c r="AT1428" s="145"/>
      <c r="AU1428" s="145"/>
      <c r="AV1428" s="146"/>
      <c r="AW1428" s="146"/>
      <c r="AX1428" s="146"/>
      <c r="AY1428" s="146"/>
      <c r="AZ1428" s="145"/>
      <c r="BA1428" s="146"/>
      <c r="BB1428" s="145"/>
      <c r="BC1428" s="145"/>
      <c r="BD1428" s="145"/>
      <c r="BE1428" s="145"/>
      <c r="BF1428" s="145"/>
      <c r="BG1428" s="145"/>
      <c r="BH1428" s="145"/>
      <c r="BI1428" s="145"/>
      <c r="BJ1428" s="145"/>
      <c r="BK1428" s="145"/>
    </row>
    <row r="1429" spans="1:63" s="147" customFormat="1" ht="15" x14ac:dyDescent="0.25">
      <c r="A1429" s="52"/>
      <c r="B1429" s="53"/>
      <c r="C1429" s="104" t="s">
        <v>57</v>
      </c>
      <c r="D1429" s="104"/>
      <c r="E1429" s="104"/>
      <c r="F1429" s="104"/>
      <c r="G1429" s="104"/>
      <c r="H1429" s="54"/>
      <c r="I1429" s="55"/>
      <c r="J1429" s="55"/>
      <c r="K1429" s="55"/>
      <c r="L1429" s="56"/>
      <c r="M1429" s="55"/>
      <c r="N1429" s="56"/>
      <c r="O1429" s="55"/>
      <c r="P1429" s="77">
        <v>652.09599999999989</v>
      </c>
      <c r="Q1429" s="82"/>
      <c r="R1429" s="82"/>
      <c r="S1429" s="82"/>
      <c r="T1429" s="82"/>
      <c r="U1429" s="170"/>
      <c r="V1429" s="82"/>
      <c r="W1429" s="160"/>
      <c r="X1429" s="82"/>
      <c r="Y1429" s="82"/>
      <c r="Z1429" s="82"/>
      <c r="AA1429" s="82"/>
      <c r="AB1429" s="145"/>
      <c r="AC1429" s="145"/>
      <c r="AD1429" s="145"/>
      <c r="AE1429" s="145"/>
      <c r="AF1429" s="145"/>
      <c r="AG1429" s="145"/>
      <c r="AH1429" s="145"/>
      <c r="AI1429" s="145"/>
      <c r="AJ1429" s="145"/>
      <c r="AK1429" s="145"/>
      <c r="AL1429" s="145"/>
      <c r="AM1429" s="145"/>
      <c r="AN1429" s="145"/>
      <c r="AO1429" s="145"/>
      <c r="AP1429" s="145"/>
      <c r="AQ1429" s="145"/>
      <c r="AR1429" s="145"/>
      <c r="AS1429" s="145"/>
      <c r="AT1429" s="145"/>
      <c r="AU1429" s="145"/>
      <c r="AV1429" s="146"/>
      <c r="AW1429" s="146"/>
      <c r="AX1429" s="146"/>
      <c r="AY1429" s="146"/>
      <c r="AZ1429" s="145"/>
      <c r="BA1429" s="146"/>
      <c r="BB1429" s="145"/>
      <c r="BC1429" s="145"/>
      <c r="BD1429" s="145"/>
      <c r="BE1429" s="145"/>
      <c r="BF1429" s="145"/>
      <c r="BG1429" s="145"/>
      <c r="BH1429" s="145"/>
      <c r="BI1429" s="145"/>
      <c r="BJ1429" s="145"/>
      <c r="BK1429" s="145"/>
    </row>
    <row r="1430" spans="1:63" s="147" customFormat="1" ht="15" x14ac:dyDescent="0.25">
      <c r="A1430" s="52"/>
      <c r="B1430" s="53" t="s">
        <v>225</v>
      </c>
      <c r="C1430" s="104" t="s">
        <v>226</v>
      </c>
      <c r="D1430" s="104"/>
      <c r="E1430" s="104"/>
      <c r="F1430" s="104"/>
      <c r="G1430" s="104"/>
      <c r="H1430" s="54" t="s">
        <v>60</v>
      </c>
      <c r="I1430" s="58">
        <v>103</v>
      </c>
      <c r="J1430" s="55"/>
      <c r="K1430" s="58">
        <v>103</v>
      </c>
      <c r="L1430" s="56"/>
      <c r="M1430" s="55"/>
      <c r="N1430" s="56"/>
      <c r="O1430" s="55"/>
      <c r="P1430" s="77">
        <v>671.65749999999991</v>
      </c>
      <c r="Q1430" s="82"/>
      <c r="R1430" s="82"/>
      <c r="S1430" s="82"/>
      <c r="T1430" s="82"/>
      <c r="U1430" s="170"/>
      <c r="V1430" s="82"/>
      <c r="W1430" s="164"/>
      <c r="X1430" s="82"/>
      <c r="Y1430" s="82"/>
      <c r="Z1430" s="82"/>
      <c r="AA1430" s="82"/>
      <c r="AB1430" s="145"/>
      <c r="AC1430" s="145"/>
      <c r="AD1430" s="145"/>
      <c r="AE1430" s="145"/>
      <c r="AF1430" s="145"/>
      <c r="AG1430" s="145"/>
      <c r="AH1430" s="145"/>
      <c r="AI1430" s="145"/>
      <c r="AJ1430" s="145"/>
      <c r="AK1430" s="145"/>
      <c r="AL1430" s="145"/>
      <c r="AM1430" s="145"/>
      <c r="AN1430" s="145"/>
      <c r="AO1430" s="145"/>
      <c r="AP1430" s="145"/>
      <c r="AQ1430" s="145"/>
      <c r="AR1430" s="145"/>
      <c r="AS1430" s="145"/>
      <c r="AT1430" s="145"/>
      <c r="AU1430" s="145"/>
      <c r="AV1430" s="146"/>
      <c r="AW1430" s="146"/>
      <c r="AX1430" s="146"/>
      <c r="AY1430" s="146"/>
      <c r="AZ1430" s="145"/>
      <c r="BA1430" s="146"/>
      <c r="BB1430" s="145"/>
      <c r="BC1430" s="145"/>
      <c r="BD1430" s="145"/>
      <c r="BE1430" s="145"/>
      <c r="BF1430" s="145"/>
      <c r="BG1430" s="145"/>
      <c r="BH1430" s="145"/>
      <c r="BI1430" s="145"/>
      <c r="BJ1430" s="145"/>
      <c r="BK1430" s="145"/>
    </row>
    <row r="1431" spans="1:63" s="147" customFormat="1" ht="15" x14ac:dyDescent="0.25">
      <c r="A1431" s="52"/>
      <c r="B1431" s="53" t="s">
        <v>227</v>
      </c>
      <c r="C1431" s="104" t="s">
        <v>228</v>
      </c>
      <c r="D1431" s="104"/>
      <c r="E1431" s="104"/>
      <c r="F1431" s="104"/>
      <c r="G1431" s="104"/>
      <c r="H1431" s="54" t="s">
        <v>60</v>
      </c>
      <c r="I1431" s="58">
        <v>52</v>
      </c>
      <c r="J1431" s="55"/>
      <c r="K1431" s="58">
        <v>52</v>
      </c>
      <c r="L1431" s="56"/>
      <c r="M1431" s="55"/>
      <c r="N1431" s="56"/>
      <c r="O1431" s="55"/>
      <c r="P1431" s="77">
        <v>339.089</v>
      </c>
      <c r="Q1431" s="82"/>
      <c r="R1431" s="82"/>
      <c r="S1431" s="82"/>
      <c r="T1431" s="82"/>
      <c r="U1431" s="170"/>
      <c r="V1431" s="82"/>
      <c r="W1431" s="164"/>
      <c r="X1431" s="82"/>
      <c r="Y1431" s="82"/>
      <c r="Z1431" s="82"/>
      <c r="AA1431" s="82"/>
      <c r="AB1431" s="145"/>
      <c r="AC1431" s="145"/>
      <c r="AD1431" s="145"/>
      <c r="AE1431" s="145"/>
      <c r="AF1431" s="145"/>
      <c r="AG1431" s="145"/>
      <c r="AH1431" s="145"/>
      <c r="AI1431" s="145"/>
      <c r="AJ1431" s="145"/>
      <c r="AK1431" s="145"/>
      <c r="AL1431" s="145"/>
      <c r="AM1431" s="145"/>
      <c r="AN1431" s="145"/>
      <c r="AO1431" s="145"/>
      <c r="AP1431" s="145"/>
      <c r="AQ1431" s="145"/>
      <c r="AR1431" s="145"/>
      <c r="AS1431" s="145"/>
      <c r="AT1431" s="145"/>
      <c r="AU1431" s="145"/>
      <c r="AV1431" s="146"/>
      <c r="AW1431" s="146"/>
      <c r="AX1431" s="146"/>
      <c r="AY1431" s="146"/>
      <c r="AZ1431" s="145"/>
      <c r="BA1431" s="146"/>
      <c r="BB1431" s="145"/>
      <c r="BC1431" s="145"/>
      <c r="BD1431" s="145"/>
      <c r="BE1431" s="145"/>
      <c r="BF1431" s="145"/>
      <c r="BG1431" s="145"/>
      <c r="BH1431" s="145"/>
      <c r="BI1431" s="145"/>
      <c r="BJ1431" s="145"/>
      <c r="BK1431" s="145"/>
    </row>
    <row r="1432" spans="1:63" s="147" customFormat="1" ht="15" x14ac:dyDescent="0.25">
      <c r="A1432" s="59"/>
      <c r="B1432" s="98"/>
      <c r="C1432" s="102" t="s">
        <v>63</v>
      </c>
      <c r="D1432" s="102"/>
      <c r="E1432" s="102"/>
      <c r="F1432" s="102"/>
      <c r="G1432" s="102"/>
      <c r="H1432" s="41"/>
      <c r="I1432" s="42"/>
      <c r="J1432" s="42"/>
      <c r="K1432" s="42"/>
      <c r="L1432" s="45"/>
      <c r="M1432" s="42"/>
      <c r="N1432" s="49">
        <v>85327.5</v>
      </c>
      <c r="O1432" s="42"/>
      <c r="P1432" s="50">
        <v>1962.5324999999998</v>
      </c>
      <c r="Q1432" s="82"/>
      <c r="R1432" s="82"/>
      <c r="S1432" s="82"/>
      <c r="T1432" s="82"/>
      <c r="U1432" s="156"/>
      <c r="V1432" s="82"/>
      <c r="W1432" s="151"/>
      <c r="X1432" s="82"/>
      <c r="Y1432" s="82"/>
      <c r="Z1432" s="82"/>
      <c r="AA1432" s="82"/>
      <c r="AB1432" s="145"/>
      <c r="AC1432" s="145"/>
      <c r="AD1432" s="145"/>
      <c r="AE1432" s="145"/>
      <c r="AF1432" s="145"/>
      <c r="AG1432" s="145"/>
      <c r="AH1432" s="145"/>
      <c r="AI1432" s="145"/>
      <c r="AJ1432" s="145"/>
      <c r="AK1432" s="145"/>
      <c r="AL1432" s="145"/>
      <c r="AM1432" s="145"/>
      <c r="AN1432" s="145"/>
      <c r="AO1432" s="145"/>
      <c r="AP1432" s="145"/>
      <c r="AQ1432" s="145"/>
      <c r="AR1432" s="145"/>
      <c r="AS1432" s="145"/>
      <c r="AT1432" s="145"/>
      <c r="AU1432" s="145"/>
      <c r="AV1432" s="146"/>
      <c r="AW1432" s="146"/>
      <c r="AX1432" s="146"/>
      <c r="AY1432" s="146"/>
      <c r="AZ1432" s="145"/>
      <c r="BA1432" s="146"/>
      <c r="BB1432" s="145"/>
      <c r="BC1432" s="145"/>
      <c r="BD1432" s="145"/>
      <c r="BE1432" s="145"/>
      <c r="BF1432" s="145"/>
      <c r="BG1432" s="145"/>
      <c r="BH1432" s="145"/>
      <c r="BI1432" s="145"/>
      <c r="BJ1432" s="145"/>
      <c r="BK1432" s="145"/>
    </row>
    <row r="1433" spans="1:63" s="147" customFormat="1" ht="15" x14ac:dyDescent="0.25">
      <c r="A1433" s="39" t="s">
        <v>878</v>
      </c>
      <c r="B1433" s="97" t="s">
        <v>236</v>
      </c>
      <c r="C1433" s="103" t="s">
        <v>237</v>
      </c>
      <c r="D1433" s="103"/>
      <c r="E1433" s="103"/>
      <c r="F1433" s="103"/>
      <c r="G1433" s="103"/>
      <c r="H1433" s="41" t="s">
        <v>222</v>
      </c>
      <c r="I1433" s="42">
        <v>3</v>
      </c>
      <c r="J1433" s="43">
        <v>1</v>
      </c>
      <c r="K1433" s="43">
        <v>3</v>
      </c>
      <c r="L1433" s="61">
        <v>237.33</v>
      </c>
      <c r="M1433" s="62">
        <v>1.1299999999999999</v>
      </c>
      <c r="N1433" s="61">
        <v>268.18</v>
      </c>
      <c r="O1433" s="42"/>
      <c r="P1433" s="50">
        <v>925.22099999999989</v>
      </c>
      <c r="Q1433" s="82"/>
      <c r="R1433" s="82"/>
      <c r="S1433" s="82"/>
      <c r="T1433" s="82"/>
      <c r="U1433" s="167"/>
      <c r="V1433" s="82"/>
      <c r="W1433" s="152"/>
      <c r="X1433" s="82"/>
      <c r="Y1433" s="82"/>
      <c r="Z1433" s="82"/>
      <c r="AA1433" s="82"/>
      <c r="AB1433" s="145"/>
      <c r="AC1433" s="145"/>
      <c r="AD1433" s="145"/>
      <c r="AE1433" s="145"/>
      <c r="AF1433" s="145"/>
      <c r="AG1433" s="145"/>
      <c r="AH1433" s="145"/>
      <c r="AI1433" s="145"/>
      <c r="AJ1433" s="145"/>
      <c r="AK1433" s="145"/>
      <c r="AL1433" s="145"/>
      <c r="AM1433" s="145"/>
      <c r="AN1433" s="145"/>
      <c r="AO1433" s="145"/>
      <c r="AP1433" s="145"/>
      <c r="AQ1433" s="145"/>
      <c r="AR1433" s="145"/>
      <c r="AS1433" s="145"/>
      <c r="AT1433" s="145"/>
      <c r="AU1433" s="145"/>
      <c r="AV1433" s="146"/>
      <c r="AW1433" s="146"/>
      <c r="AX1433" s="146"/>
      <c r="AY1433" s="146"/>
      <c r="AZ1433" s="145"/>
      <c r="BA1433" s="146"/>
      <c r="BB1433" s="145"/>
      <c r="BC1433" s="145"/>
      <c r="BD1433" s="145"/>
      <c r="BE1433" s="145"/>
      <c r="BF1433" s="145"/>
      <c r="BG1433" s="145"/>
      <c r="BH1433" s="145"/>
      <c r="BI1433" s="145"/>
      <c r="BJ1433" s="145"/>
      <c r="BK1433" s="145"/>
    </row>
    <row r="1434" spans="1:63" s="147" customFormat="1" ht="15" x14ac:dyDescent="0.25">
      <c r="A1434" s="59"/>
      <c r="B1434" s="98"/>
      <c r="C1434" s="102" t="s">
        <v>63</v>
      </c>
      <c r="D1434" s="102"/>
      <c r="E1434" s="102"/>
      <c r="F1434" s="102"/>
      <c r="G1434" s="102"/>
      <c r="H1434" s="41"/>
      <c r="I1434" s="42"/>
      <c r="J1434" s="42"/>
      <c r="K1434" s="42"/>
      <c r="L1434" s="45"/>
      <c r="M1434" s="42"/>
      <c r="N1434" s="45"/>
      <c r="O1434" s="42"/>
      <c r="P1434" s="50">
        <v>925.22099999999989</v>
      </c>
      <c r="Q1434" s="82"/>
      <c r="R1434" s="82"/>
      <c r="S1434" s="82"/>
      <c r="T1434" s="82"/>
      <c r="U1434" s="167"/>
      <c r="V1434" s="82"/>
      <c r="W1434" s="151"/>
      <c r="X1434" s="82"/>
      <c r="Y1434" s="82"/>
      <c r="Z1434" s="82"/>
      <c r="AA1434" s="82"/>
      <c r="AB1434" s="145"/>
      <c r="AC1434" s="145"/>
      <c r="AD1434" s="145"/>
      <c r="AE1434" s="145"/>
      <c r="AF1434" s="145"/>
      <c r="AG1434" s="145"/>
      <c r="AH1434" s="145"/>
      <c r="AI1434" s="145"/>
      <c r="AJ1434" s="145"/>
      <c r="AK1434" s="145"/>
      <c r="AL1434" s="145"/>
      <c r="AM1434" s="145"/>
      <c r="AN1434" s="145"/>
      <c r="AO1434" s="145"/>
      <c r="AP1434" s="145"/>
      <c r="AQ1434" s="145"/>
      <c r="AR1434" s="145"/>
      <c r="AS1434" s="145"/>
      <c r="AT1434" s="145"/>
      <c r="AU1434" s="145"/>
      <c r="AV1434" s="146"/>
      <c r="AW1434" s="146"/>
      <c r="AX1434" s="146"/>
      <c r="AY1434" s="146"/>
      <c r="AZ1434" s="145"/>
      <c r="BA1434" s="146"/>
      <c r="BB1434" s="145"/>
      <c r="BC1434" s="145"/>
      <c r="BD1434" s="145"/>
      <c r="BE1434" s="145"/>
      <c r="BF1434" s="145"/>
      <c r="BG1434" s="145"/>
      <c r="BH1434" s="145"/>
      <c r="BI1434" s="145"/>
      <c r="BJ1434" s="145"/>
      <c r="BK1434" s="145"/>
    </row>
    <row r="1435" spans="1:63" s="147" customFormat="1" ht="15" x14ac:dyDescent="0.25">
      <c r="A1435" s="39" t="s">
        <v>879</v>
      </c>
      <c r="B1435" s="97" t="s">
        <v>239</v>
      </c>
      <c r="C1435" s="103" t="s">
        <v>240</v>
      </c>
      <c r="D1435" s="103"/>
      <c r="E1435" s="103"/>
      <c r="F1435" s="103"/>
      <c r="G1435" s="103"/>
      <c r="H1435" s="41" t="s">
        <v>125</v>
      </c>
      <c r="I1435" s="42">
        <v>0.02</v>
      </c>
      <c r="J1435" s="43">
        <v>1</v>
      </c>
      <c r="K1435" s="62">
        <v>0.02</v>
      </c>
      <c r="L1435" s="45"/>
      <c r="M1435" s="42"/>
      <c r="N1435" s="45"/>
      <c r="O1435" s="42"/>
      <c r="P1435" s="50"/>
      <c r="Q1435" s="82"/>
      <c r="R1435" s="82"/>
      <c r="S1435" s="82"/>
      <c r="T1435" s="82"/>
      <c r="U1435" s="153"/>
      <c r="V1435" s="82"/>
      <c r="W1435" s="168"/>
      <c r="X1435" s="82"/>
      <c r="Y1435" s="82"/>
      <c r="Z1435" s="82"/>
      <c r="AA1435" s="82"/>
      <c r="AB1435" s="145"/>
      <c r="AC1435" s="145"/>
      <c r="AD1435" s="145"/>
      <c r="AE1435" s="145"/>
      <c r="AF1435" s="145"/>
      <c r="AG1435" s="145"/>
      <c r="AH1435" s="145"/>
      <c r="AI1435" s="145"/>
      <c r="AJ1435" s="145"/>
      <c r="AK1435" s="145"/>
      <c r="AL1435" s="145"/>
      <c r="AM1435" s="145"/>
      <c r="AN1435" s="145"/>
      <c r="AO1435" s="145"/>
      <c r="AP1435" s="145"/>
      <c r="AQ1435" s="145"/>
      <c r="AR1435" s="145"/>
      <c r="AS1435" s="145"/>
      <c r="AT1435" s="145"/>
      <c r="AU1435" s="145"/>
      <c r="AV1435" s="146"/>
      <c r="AW1435" s="146"/>
      <c r="AX1435" s="146"/>
      <c r="AY1435" s="146"/>
      <c r="AZ1435" s="145"/>
      <c r="BA1435" s="146"/>
      <c r="BB1435" s="145"/>
      <c r="BC1435" s="145"/>
      <c r="BD1435" s="145"/>
      <c r="BE1435" s="145"/>
      <c r="BF1435" s="145"/>
      <c r="BG1435" s="145"/>
      <c r="BH1435" s="145"/>
      <c r="BI1435" s="145"/>
      <c r="BJ1435" s="145"/>
      <c r="BK1435" s="145"/>
    </row>
    <row r="1436" spans="1:63" s="147" customFormat="1" ht="15" x14ac:dyDescent="0.25">
      <c r="A1436" s="47"/>
      <c r="B1436" s="48"/>
      <c r="C1436" s="102" t="s">
        <v>56</v>
      </c>
      <c r="D1436" s="102"/>
      <c r="E1436" s="102"/>
      <c r="F1436" s="102"/>
      <c r="G1436" s="102"/>
      <c r="H1436" s="41"/>
      <c r="I1436" s="42"/>
      <c r="J1436" s="42"/>
      <c r="K1436" s="42"/>
      <c r="L1436" s="45"/>
      <c r="M1436" s="42"/>
      <c r="N1436" s="49"/>
      <c r="O1436" s="42"/>
      <c r="P1436" s="50">
        <v>559.98099999999999</v>
      </c>
      <c r="Q1436" s="157"/>
      <c r="R1436" s="157"/>
      <c r="S1436" s="82"/>
      <c r="T1436" s="82"/>
      <c r="U1436" s="156"/>
      <c r="V1436" s="82"/>
      <c r="W1436" s="151"/>
      <c r="X1436" s="82"/>
      <c r="Y1436" s="82"/>
      <c r="Z1436" s="82"/>
      <c r="AA1436" s="82"/>
      <c r="AB1436" s="145"/>
      <c r="AC1436" s="145"/>
      <c r="AD1436" s="145"/>
      <c r="AE1436" s="145"/>
      <c r="AF1436" s="145"/>
      <c r="AG1436" s="145"/>
      <c r="AH1436" s="145"/>
      <c r="AI1436" s="145"/>
      <c r="AJ1436" s="145"/>
      <c r="AK1436" s="145"/>
      <c r="AL1436" s="145"/>
      <c r="AM1436" s="145"/>
      <c r="AN1436" s="145"/>
      <c r="AO1436" s="145"/>
      <c r="AP1436" s="145"/>
      <c r="AQ1436" s="145"/>
      <c r="AR1436" s="145"/>
      <c r="AS1436" s="145"/>
      <c r="AT1436" s="145"/>
      <c r="AU1436" s="145"/>
      <c r="AV1436" s="146"/>
      <c r="AW1436" s="146"/>
      <c r="AX1436" s="146"/>
      <c r="AY1436" s="146"/>
      <c r="AZ1436" s="145"/>
      <c r="BA1436" s="146"/>
      <c r="BB1436" s="145"/>
      <c r="BC1436" s="145"/>
      <c r="BD1436" s="145"/>
      <c r="BE1436" s="145"/>
      <c r="BF1436" s="145"/>
      <c r="BG1436" s="145"/>
      <c r="BH1436" s="145"/>
      <c r="BI1436" s="145"/>
      <c r="BJ1436" s="145"/>
      <c r="BK1436" s="145"/>
    </row>
    <row r="1437" spans="1:63" s="147" customFormat="1" ht="15" x14ac:dyDescent="0.25">
      <c r="A1437" s="52"/>
      <c r="B1437" s="53"/>
      <c r="C1437" s="104" t="s">
        <v>57</v>
      </c>
      <c r="D1437" s="104"/>
      <c r="E1437" s="104"/>
      <c r="F1437" s="104"/>
      <c r="G1437" s="104"/>
      <c r="H1437" s="54"/>
      <c r="I1437" s="55"/>
      <c r="J1437" s="55"/>
      <c r="K1437" s="55"/>
      <c r="L1437" s="56"/>
      <c r="M1437" s="55"/>
      <c r="N1437" s="56"/>
      <c r="O1437" s="55"/>
      <c r="P1437" s="77">
        <v>549.83799999999997</v>
      </c>
      <c r="Q1437" s="82"/>
      <c r="R1437" s="82"/>
      <c r="S1437" s="82"/>
      <c r="T1437" s="82"/>
      <c r="U1437" s="170"/>
      <c r="V1437" s="82"/>
      <c r="W1437" s="160"/>
      <c r="X1437" s="82"/>
      <c r="Y1437" s="82"/>
      <c r="Z1437" s="82"/>
      <c r="AA1437" s="82"/>
      <c r="AB1437" s="145"/>
      <c r="AC1437" s="145"/>
      <c r="AD1437" s="145"/>
      <c r="AE1437" s="145"/>
      <c r="AF1437" s="145"/>
      <c r="AG1437" s="145"/>
      <c r="AH1437" s="145"/>
      <c r="AI1437" s="145"/>
      <c r="AJ1437" s="145"/>
      <c r="AK1437" s="145"/>
      <c r="AL1437" s="145"/>
      <c r="AM1437" s="145"/>
      <c r="AN1437" s="145"/>
      <c r="AO1437" s="145"/>
      <c r="AP1437" s="145"/>
      <c r="AQ1437" s="145"/>
      <c r="AR1437" s="145"/>
      <c r="AS1437" s="145"/>
      <c r="AT1437" s="145"/>
      <c r="AU1437" s="145"/>
      <c r="AV1437" s="146"/>
      <c r="AW1437" s="146"/>
      <c r="AX1437" s="146"/>
      <c r="AY1437" s="146"/>
      <c r="AZ1437" s="145"/>
      <c r="BA1437" s="146"/>
      <c r="BB1437" s="145"/>
      <c r="BC1437" s="145"/>
      <c r="BD1437" s="145"/>
      <c r="BE1437" s="145"/>
      <c r="BF1437" s="145"/>
      <c r="BG1437" s="145"/>
      <c r="BH1437" s="145"/>
      <c r="BI1437" s="145"/>
      <c r="BJ1437" s="145"/>
      <c r="BK1437" s="145"/>
    </row>
    <row r="1438" spans="1:63" s="147" customFormat="1" ht="15" x14ac:dyDescent="0.25">
      <c r="A1438" s="52"/>
      <c r="B1438" s="53" t="s">
        <v>215</v>
      </c>
      <c r="C1438" s="104" t="s">
        <v>216</v>
      </c>
      <c r="D1438" s="104"/>
      <c r="E1438" s="104"/>
      <c r="F1438" s="104"/>
      <c r="G1438" s="104"/>
      <c r="H1438" s="54" t="s">
        <v>60</v>
      </c>
      <c r="I1438" s="58">
        <v>121</v>
      </c>
      <c r="J1438" s="55"/>
      <c r="K1438" s="58">
        <v>121</v>
      </c>
      <c r="L1438" s="56"/>
      <c r="M1438" s="55"/>
      <c r="N1438" s="56"/>
      <c r="O1438" s="55"/>
      <c r="P1438" s="77">
        <v>665.30949999999996</v>
      </c>
      <c r="Q1438" s="82"/>
      <c r="R1438" s="82"/>
      <c r="S1438" s="82"/>
      <c r="T1438" s="82"/>
      <c r="U1438" s="170"/>
      <c r="V1438" s="82"/>
      <c r="W1438" s="164"/>
      <c r="X1438" s="82"/>
      <c r="Y1438" s="82"/>
      <c r="Z1438" s="82"/>
      <c r="AA1438" s="82"/>
      <c r="AB1438" s="145"/>
      <c r="AC1438" s="145"/>
      <c r="AD1438" s="145"/>
      <c r="AE1438" s="145"/>
      <c r="AF1438" s="145"/>
      <c r="AG1438" s="145"/>
      <c r="AH1438" s="145"/>
      <c r="AI1438" s="145"/>
      <c r="AJ1438" s="145"/>
      <c r="AK1438" s="145"/>
      <c r="AL1438" s="145"/>
      <c r="AM1438" s="145"/>
      <c r="AN1438" s="145"/>
      <c r="AO1438" s="145"/>
      <c r="AP1438" s="145"/>
      <c r="AQ1438" s="145"/>
      <c r="AR1438" s="145"/>
      <c r="AS1438" s="145"/>
      <c r="AT1438" s="145"/>
      <c r="AU1438" s="145"/>
      <c r="AV1438" s="146"/>
      <c r="AW1438" s="146"/>
      <c r="AX1438" s="146"/>
      <c r="AY1438" s="146"/>
      <c r="AZ1438" s="145"/>
      <c r="BA1438" s="146"/>
      <c r="BB1438" s="145"/>
      <c r="BC1438" s="145"/>
      <c r="BD1438" s="145"/>
      <c r="BE1438" s="145"/>
      <c r="BF1438" s="145"/>
      <c r="BG1438" s="145"/>
      <c r="BH1438" s="145"/>
      <c r="BI1438" s="145"/>
      <c r="BJ1438" s="145"/>
      <c r="BK1438" s="145"/>
    </row>
    <row r="1439" spans="1:63" s="147" customFormat="1" ht="15" x14ac:dyDescent="0.25">
      <c r="A1439" s="52"/>
      <c r="B1439" s="53" t="s">
        <v>217</v>
      </c>
      <c r="C1439" s="104" t="s">
        <v>218</v>
      </c>
      <c r="D1439" s="104"/>
      <c r="E1439" s="104"/>
      <c r="F1439" s="104"/>
      <c r="G1439" s="104"/>
      <c r="H1439" s="54" t="s">
        <v>60</v>
      </c>
      <c r="I1439" s="58">
        <v>72</v>
      </c>
      <c r="J1439" s="55"/>
      <c r="K1439" s="58">
        <v>72</v>
      </c>
      <c r="L1439" s="56"/>
      <c r="M1439" s="55"/>
      <c r="N1439" s="56"/>
      <c r="O1439" s="55"/>
      <c r="P1439" s="77">
        <v>395.88749999999999</v>
      </c>
      <c r="Q1439" s="82"/>
      <c r="R1439" s="82"/>
      <c r="S1439" s="82"/>
      <c r="T1439" s="82"/>
      <c r="U1439" s="170"/>
      <c r="V1439" s="82"/>
      <c r="W1439" s="164"/>
      <c r="X1439" s="82"/>
      <c r="Y1439" s="82"/>
      <c r="Z1439" s="82"/>
      <c r="AA1439" s="82"/>
      <c r="AB1439" s="145"/>
      <c r="AC1439" s="145"/>
      <c r="AD1439" s="145"/>
      <c r="AE1439" s="145"/>
      <c r="AF1439" s="145"/>
      <c r="AG1439" s="145"/>
      <c r="AH1439" s="145"/>
      <c r="AI1439" s="145"/>
      <c r="AJ1439" s="145"/>
      <c r="AK1439" s="145"/>
      <c r="AL1439" s="145"/>
      <c r="AM1439" s="145"/>
      <c r="AN1439" s="145"/>
      <c r="AO1439" s="145"/>
      <c r="AP1439" s="145"/>
      <c r="AQ1439" s="145"/>
      <c r="AR1439" s="145"/>
      <c r="AS1439" s="145"/>
      <c r="AT1439" s="145"/>
      <c r="AU1439" s="145"/>
      <c r="AV1439" s="146"/>
      <c r="AW1439" s="146"/>
      <c r="AX1439" s="146"/>
      <c r="AY1439" s="146"/>
      <c r="AZ1439" s="145"/>
      <c r="BA1439" s="146"/>
      <c r="BB1439" s="145"/>
      <c r="BC1439" s="145"/>
      <c r="BD1439" s="145"/>
      <c r="BE1439" s="145"/>
      <c r="BF1439" s="145"/>
      <c r="BG1439" s="145"/>
      <c r="BH1439" s="145"/>
      <c r="BI1439" s="145"/>
      <c r="BJ1439" s="145"/>
      <c r="BK1439" s="145"/>
    </row>
    <row r="1440" spans="1:63" s="147" customFormat="1" ht="15" x14ac:dyDescent="0.25">
      <c r="A1440" s="59"/>
      <c r="B1440" s="98"/>
      <c r="C1440" s="102" t="s">
        <v>63</v>
      </c>
      <c r="D1440" s="102"/>
      <c r="E1440" s="102"/>
      <c r="F1440" s="102"/>
      <c r="G1440" s="102"/>
      <c r="H1440" s="41"/>
      <c r="I1440" s="42"/>
      <c r="J1440" s="42"/>
      <c r="K1440" s="42"/>
      <c r="L1440" s="45"/>
      <c r="M1440" s="42"/>
      <c r="N1440" s="49">
        <v>70486</v>
      </c>
      <c r="O1440" s="42"/>
      <c r="P1440" s="50">
        <v>1621.1779999999999</v>
      </c>
      <c r="Q1440" s="82"/>
      <c r="R1440" s="82"/>
      <c r="S1440" s="82"/>
      <c r="T1440" s="82"/>
      <c r="U1440" s="156"/>
      <c r="V1440" s="82"/>
      <c r="W1440" s="151"/>
      <c r="X1440" s="82"/>
      <c r="Y1440" s="82"/>
      <c r="Z1440" s="82"/>
      <c r="AA1440" s="82"/>
      <c r="AB1440" s="145"/>
      <c r="AC1440" s="145"/>
      <c r="AD1440" s="145"/>
      <c r="AE1440" s="145"/>
      <c r="AF1440" s="145"/>
      <c r="AG1440" s="145"/>
      <c r="AH1440" s="145"/>
      <c r="AI1440" s="145"/>
      <c r="AJ1440" s="145"/>
      <c r="AK1440" s="145"/>
      <c r="AL1440" s="145"/>
      <c r="AM1440" s="145"/>
      <c r="AN1440" s="145"/>
      <c r="AO1440" s="145"/>
      <c r="AP1440" s="145"/>
      <c r="AQ1440" s="145"/>
      <c r="AR1440" s="145"/>
      <c r="AS1440" s="145"/>
      <c r="AT1440" s="145"/>
      <c r="AU1440" s="145"/>
      <c r="AV1440" s="146"/>
      <c r="AW1440" s="146"/>
      <c r="AX1440" s="146"/>
      <c r="AY1440" s="146"/>
      <c r="AZ1440" s="145"/>
      <c r="BA1440" s="146"/>
      <c r="BB1440" s="145"/>
      <c r="BC1440" s="145"/>
      <c r="BD1440" s="145"/>
      <c r="BE1440" s="145"/>
      <c r="BF1440" s="145"/>
      <c r="BG1440" s="145"/>
      <c r="BH1440" s="145"/>
      <c r="BI1440" s="145"/>
      <c r="BJ1440" s="145"/>
      <c r="BK1440" s="145"/>
    </row>
    <row r="1441" spans="1:63" s="147" customFormat="1" ht="15" x14ac:dyDescent="0.25">
      <c r="A1441" s="39" t="s">
        <v>880</v>
      </c>
      <c r="B1441" s="97" t="s">
        <v>242</v>
      </c>
      <c r="C1441" s="103" t="s">
        <v>243</v>
      </c>
      <c r="D1441" s="103"/>
      <c r="E1441" s="103"/>
      <c r="F1441" s="103"/>
      <c r="G1441" s="103"/>
      <c r="H1441" s="41" t="s">
        <v>244</v>
      </c>
      <c r="I1441" s="42">
        <v>1.996</v>
      </c>
      <c r="J1441" s="43">
        <v>1</v>
      </c>
      <c r="K1441" s="66">
        <v>1.996</v>
      </c>
      <c r="L1441" s="61">
        <v>324.68</v>
      </c>
      <c r="M1441" s="62">
        <v>1.01</v>
      </c>
      <c r="N1441" s="61">
        <v>327.93</v>
      </c>
      <c r="O1441" s="42"/>
      <c r="P1441" s="50">
        <v>752.73249999999985</v>
      </c>
      <c r="Q1441" s="82"/>
      <c r="R1441" s="82"/>
      <c r="S1441" s="82"/>
      <c r="T1441" s="82"/>
      <c r="U1441" s="167"/>
      <c r="V1441" s="82"/>
      <c r="W1441" s="171"/>
      <c r="X1441" s="82"/>
      <c r="Y1441" s="82"/>
      <c r="Z1441" s="82"/>
      <c r="AA1441" s="82"/>
      <c r="AB1441" s="145"/>
      <c r="AC1441" s="145"/>
      <c r="AD1441" s="145"/>
      <c r="AE1441" s="145"/>
      <c r="AF1441" s="145"/>
      <c r="AG1441" s="145"/>
      <c r="AH1441" s="145"/>
      <c r="AI1441" s="145"/>
      <c r="AJ1441" s="145"/>
      <c r="AK1441" s="145"/>
      <c r="AL1441" s="145"/>
      <c r="AM1441" s="145"/>
      <c r="AN1441" s="145"/>
      <c r="AO1441" s="145"/>
      <c r="AP1441" s="145"/>
      <c r="AQ1441" s="145"/>
      <c r="AR1441" s="145"/>
      <c r="AS1441" s="145"/>
      <c r="AT1441" s="145"/>
      <c r="AU1441" s="145"/>
      <c r="AV1441" s="146"/>
      <c r="AW1441" s="146"/>
      <c r="AX1441" s="146"/>
      <c r="AY1441" s="146"/>
      <c r="AZ1441" s="145"/>
      <c r="BA1441" s="146"/>
      <c r="BB1441" s="145"/>
      <c r="BC1441" s="145"/>
      <c r="BD1441" s="145"/>
      <c r="BE1441" s="145"/>
      <c r="BF1441" s="145"/>
      <c r="BG1441" s="145"/>
      <c r="BH1441" s="145"/>
      <c r="BI1441" s="145"/>
      <c r="BJ1441" s="145"/>
      <c r="BK1441" s="145"/>
    </row>
    <row r="1442" spans="1:63" s="147" customFormat="1" ht="15" x14ac:dyDescent="0.25">
      <c r="A1442" s="59"/>
      <c r="B1442" s="98"/>
      <c r="C1442" s="102" t="s">
        <v>63</v>
      </c>
      <c r="D1442" s="102"/>
      <c r="E1442" s="102"/>
      <c r="F1442" s="102"/>
      <c r="G1442" s="102"/>
      <c r="H1442" s="41"/>
      <c r="I1442" s="42"/>
      <c r="J1442" s="42"/>
      <c r="K1442" s="42"/>
      <c r="L1442" s="45"/>
      <c r="M1442" s="42"/>
      <c r="N1442" s="45"/>
      <c r="O1442" s="42"/>
      <c r="P1442" s="50">
        <v>752.73249999999985</v>
      </c>
      <c r="Q1442" s="82"/>
      <c r="R1442" s="82"/>
      <c r="S1442" s="82"/>
      <c r="T1442" s="82"/>
      <c r="U1442" s="167"/>
      <c r="V1442" s="82"/>
      <c r="W1442" s="151"/>
      <c r="X1442" s="82"/>
      <c r="Y1442" s="82"/>
      <c r="Z1442" s="82"/>
      <c r="AA1442" s="82"/>
      <c r="AB1442" s="145"/>
      <c r="AC1442" s="145"/>
      <c r="AD1442" s="145"/>
      <c r="AE1442" s="145"/>
      <c r="AF1442" s="145"/>
      <c r="AG1442" s="145"/>
      <c r="AH1442" s="145"/>
      <c r="AI1442" s="145"/>
      <c r="AJ1442" s="145"/>
      <c r="AK1442" s="145"/>
      <c r="AL1442" s="145"/>
      <c r="AM1442" s="145"/>
      <c r="AN1442" s="145"/>
      <c r="AO1442" s="145"/>
      <c r="AP1442" s="145"/>
      <c r="AQ1442" s="145"/>
      <c r="AR1442" s="145"/>
      <c r="AS1442" s="145"/>
      <c r="AT1442" s="145"/>
      <c r="AU1442" s="145"/>
      <c r="AV1442" s="146"/>
      <c r="AW1442" s="146"/>
      <c r="AX1442" s="146"/>
      <c r="AY1442" s="146"/>
      <c r="AZ1442" s="145"/>
      <c r="BA1442" s="146"/>
      <c r="BB1442" s="145"/>
      <c r="BC1442" s="145"/>
      <c r="BD1442" s="145"/>
      <c r="BE1442" s="145"/>
      <c r="BF1442" s="145"/>
      <c r="BG1442" s="145"/>
      <c r="BH1442" s="145"/>
      <c r="BI1442" s="145"/>
      <c r="BJ1442" s="145"/>
      <c r="BK1442" s="145"/>
    </row>
    <row r="1443" spans="1:63" s="147" customFormat="1" ht="15" x14ac:dyDescent="0.25">
      <c r="A1443" s="39" t="s">
        <v>881</v>
      </c>
      <c r="B1443" s="97" t="s">
        <v>246</v>
      </c>
      <c r="C1443" s="103" t="s">
        <v>247</v>
      </c>
      <c r="D1443" s="103"/>
      <c r="E1443" s="103"/>
      <c r="F1443" s="103"/>
      <c r="G1443" s="103"/>
      <c r="H1443" s="41" t="s">
        <v>83</v>
      </c>
      <c r="I1443" s="42">
        <v>1</v>
      </c>
      <c r="J1443" s="43">
        <v>1</v>
      </c>
      <c r="K1443" s="43">
        <v>1</v>
      </c>
      <c r="L1443" s="61">
        <v>111.78</v>
      </c>
      <c r="M1443" s="62">
        <v>1.01</v>
      </c>
      <c r="N1443" s="61">
        <v>112.9</v>
      </c>
      <c r="O1443" s="42"/>
      <c r="P1443" s="50">
        <v>129.83500000000001</v>
      </c>
      <c r="Q1443" s="82"/>
      <c r="R1443" s="82"/>
      <c r="S1443" s="82"/>
      <c r="T1443" s="82"/>
      <c r="U1443" s="167"/>
      <c r="V1443" s="82"/>
      <c r="W1443" s="152"/>
      <c r="X1443" s="82"/>
      <c r="Y1443" s="82"/>
      <c r="Z1443" s="82"/>
      <c r="AA1443" s="82"/>
      <c r="AB1443" s="145"/>
      <c r="AC1443" s="145"/>
      <c r="AD1443" s="145"/>
      <c r="AE1443" s="145"/>
      <c r="AF1443" s="145"/>
      <c r="AG1443" s="145"/>
      <c r="AH1443" s="145"/>
      <c r="AI1443" s="145"/>
      <c r="AJ1443" s="145"/>
      <c r="AK1443" s="145"/>
      <c r="AL1443" s="145"/>
      <c r="AM1443" s="145"/>
      <c r="AN1443" s="145"/>
      <c r="AO1443" s="145"/>
      <c r="AP1443" s="145"/>
      <c r="AQ1443" s="145"/>
      <c r="AR1443" s="145"/>
      <c r="AS1443" s="145"/>
      <c r="AT1443" s="145"/>
      <c r="AU1443" s="145"/>
      <c r="AV1443" s="146"/>
      <c r="AW1443" s="146"/>
      <c r="AX1443" s="146"/>
      <c r="AY1443" s="146"/>
      <c r="AZ1443" s="145"/>
      <c r="BA1443" s="146"/>
      <c r="BB1443" s="145"/>
      <c r="BC1443" s="145"/>
      <c r="BD1443" s="145"/>
      <c r="BE1443" s="145"/>
      <c r="BF1443" s="145"/>
      <c r="BG1443" s="145"/>
      <c r="BH1443" s="145"/>
      <c r="BI1443" s="145"/>
      <c r="BJ1443" s="145"/>
      <c r="BK1443" s="145"/>
    </row>
    <row r="1444" spans="1:63" s="147" customFormat="1" ht="15" x14ac:dyDescent="0.25">
      <c r="A1444" s="59"/>
      <c r="B1444" s="98"/>
      <c r="C1444" s="102" t="s">
        <v>63</v>
      </c>
      <c r="D1444" s="102"/>
      <c r="E1444" s="102"/>
      <c r="F1444" s="102"/>
      <c r="G1444" s="102"/>
      <c r="H1444" s="41"/>
      <c r="I1444" s="42"/>
      <c r="J1444" s="42"/>
      <c r="K1444" s="42"/>
      <c r="L1444" s="45"/>
      <c r="M1444" s="42"/>
      <c r="N1444" s="45"/>
      <c r="O1444" s="42"/>
      <c r="P1444" s="50">
        <v>129.83500000000001</v>
      </c>
      <c r="Q1444" s="82"/>
      <c r="R1444" s="82"/>
      <c r="S1444" s="82"/>
      <c r="T1444" s="82"/>
      <c r="U1444" s="167"/>
      <c r="V1444" s="82"/>
      <c r="W1444" s="151"/>
      <c r="X1444" s="82"/>
      <c r="Y1444" s="82"/>
      <c r="Z1444" s="82"/>
      <c r="AA1444" s="82"/>
      <c r="AB1444" s="145"/>
      <c r="AC1444" s="145"/>
      <c r="AD1444" s="145"/>
      <c r="AE1444" s="145"/>
      <c r="AF1444" s="145"/>
      <c r="AG1444" s="145"/>
      <c r="AH1444" s="145"/>
      <c r="AI1444" s="145"/>
      <c r="AJ1444" s="145"/>
      <c r="AK1444" s="145"/>
      <c r="AL1444" s="145"/>
      <c r="AM1444" s="145"/>
      <c r="AN1444" s="145"/>
      <c r="AO1444" s="145"/>
      <c r="AP1444" s="145"/>
      <c r="AQ1444" s="145"/>
      <c r="AR1444" s="145"/>
      <c r="AS1444" s="145"/>
      <c r="AT1444" s="145"/>
      <c r="AU1444" s="145"/>
      <c r="AV1444" s="146"/>
      <c r="AW1444" s="146"/>
      <c r="AX1444" s="146"/>
      <c r="AY1444" s="146"/>
      <c r="AZ1444" s="145"/>
      <c r="BA1444" s="146"/>
      <c r="BB1444" s="145"/>
      <c r="BC1444" s="145"/>
      <c r="BD1444" s="145"/>
      <c r="BE1444" s="145"/>
      <c r="BF1444" s="145"/>
      <c r="BG1444" s="145"/>
      <c r="BH1444" s="145"/>
      <c r="BI1444" s="145"/>
      <c r="BJ1444" s="145"/>
      <c r="BK1444" s="145"/>
    </row>
    <row r="1445" spans="1:63" s="147" customFormat="1" ht="15" x14ac:dyDescent="0.25">
      <c r="A1445" s="39" t="s">
        <v>882</v>
      </c>
      <c r="B1445" s="97" t="s">
        <v>249</v>
      </c>
      <c r="C1445" s="103" t="s">
        <v>250</v>
      </c>
      <c r="D1445" s="103"/>
      <c r="E1445" s="103"/>
      <c r="F1445" s="103"/>
      <c r="G1445" s="103"/>
      <c r="H1445" s="41" t="s">
        <v>83</v>
      </c>
      <c r="I1445" s="42">
        <v>1</v>
      </c>
      <c r="J1445" s="43">
        <v>1</v>
      </c>
      <c r="K1445" s="43">
        <v>1</v>
      </c>
      <c r="L1445" s="61">
        <v>69.52</v>
      </c>
      <c r="M1445" s="62">
        <v>1.01</v>
      </c>
      <c r="N1445" s="61">
        <v>70.22</v>
      </c>
      <c r="O1445" s="42"/>
      <c r="P1445" s="50">
        <v>80.752999999999986</v>
      </c>
      <c r="Q1445" s="82"/>
      <c r="R1445" s="82"/>
      <c r="S1445" s="82"/>
      <c r="T1445" s="82"/>
      <c r="U1445" s="167"/>
      <c r="V1445" s="82"/>
      <c r="W1445" s="152"/>
      <c r="X1445" s="82"/>
      <c r="Y1445" s="82"/>
      <c r="Z1445" s="82"/>
      <c r="AA1445" s="82"/>
      <c r="AB1445" s="145"/>
      <c r="AC1445" s="145"/>
      <c r="AD1445" s="145"/>
      <c r="AE1445" s="145"/>
      <c r="AF1445" s="145"/>
      <c r="AG1445" s="145"/>
      <c r="AH1445" s="145"/>
      <c r="AI1445" s="145"/>
      <c r="AJ1445" s="145"/>
      <c r="AK1445" s="145"/>
      <c r="AL1445" s="145"/>
      <c r="AM1445" s="145"/>
      <c r="AN1445" s="145"/>
      <c r="AO1445" s="145"/>
      <c r="AP1445" s="145"/>
      <c r="AQ1445" s="145"/>
      <c r="AR1445" s="145"/>
      <c r="AS1445" s="145"/>
      <c r="AT1445" s="145"/>
      <c r="AU1445" s="145"/>
      <c r="AV1445" s="146"/>
      <c r="AW1445" s="146"/>
      <c r="AX1445" s="146"/>
      <c r="AY1445" s="146"/>
      <c r="AZ1445" s="145"/>
      <c r="BA1445" s="146"/>
      <c r="BB1445" s="145"/>
      <c r="BC1445" s="145"/>
      <c r="BD1445" s="145"/>
      <c r="BE1445" s="145"/>
      <c r="BF1445" s="145"/>
      <c r="BG1445" s="145"/>
      <c r="BH1445" s="145"/>
      <c r="BI1445" s="145"/>
      <c r="BJ1445" s="145"/>
      <c r="BK1445" s="145"/>
    </row>
    <row r="1446" spans="1:63" s="147" customFormat="1" ht="15" x14ac:dyDescent="0.25">
      <c r="A1446" s="59"/>
      <c r="B1446" s="98"/>
      <c r="C1446" s="102" t="s">
        <v>63</v>
      </c>
      <c r="D1446" s="102"/>
      <c r="E1446" s="102"/>
      <c r="F1446" s="102"/>
      <c r="G1446" s="102"/>
      <c r="H1446" s="41"/>
      <c r="I1446" s="42"/>
      <c r="J1446" s="42"/>
      <c r="K1446" s="42"/>
      <c r="L1446" s="45"/>
      <c r="M1446" s="42"/>
      <c r="N1446" s="45"/>
      <c r="O1446" s="42"/>
      <c r="P1446" s="50">
        <v>80.752999999999986</v>
      </c>
      <c r="Q1446" s="82"/>
      <c r="R1446" s="82"/>
      <c r="S1446" s="82"/>
      <c r="T1446" s="82"/>
      <c r="U1446" s="167"/>
      <c r="V1446" s="82"/>
      <c r="W1446" s="151"/>
      <c r="X1446" s="82"/>
      <c r="Y1446" s="82"/>
      <c r="Z1446" s="82"/>
      <c r="AA1446" s="82"/>
      <c r="AB1446" s="145"/>
      <c r="AC1446" s="145"/>
      <c r="AD1446" s="145"/>
      <c r="AE1446" s="145"/>
      <c r="AF1446" s="145"/>
      <c r="AG1446" s="145"/>
      <c r="AH1446" s="145"/>
      <c r="AI1446" s="145"/>
      <c r="AJ1446" s="145"/>
      <c r="AK1446" s="145"/>
      <c r="AL1446" s="145"/>
      <c r="AM1446" s="145"/>
      <c r="AN1446" s="145"/>
      <c r="AO1446" s="145"/>
      <c r="AP1446" s="145"/>
      <c r="AQ1446" s="145"/>
      <c r="AR1446" s="145"/>
      <c r="AS1446" s="145"/>
      <c r="AT1446" s="145"/>
      <c r="AU1446" s="145"/>
      <c r="AV1446" s="146"/>
      <c r="AW1446" s="146"/>
      <c r="AX1446" s="146"/>
      <c r="AY1446" s="146"/>
      <c r="AZ1446" s="145"/>
      <c r="BA1446" s="146"/>
      <c r="BB1446" s="145"/>
      <c r="BC1446" s="145"/>
      <c r="BD1446" s="145"/>
      <c r="BE1446" s="145"/>
      <c r="BF1446" s="145"/>
      <c r="BG1446" s="145"/>
      <c r="BH1446" s="145"/>
      <c r="BI1446" s="145"/>
      <c r="BJ1446" s="145"/>
      <c r="BK1446" s="145"/>
    </row>
    <row r="1447" spans="1:63" s="147" customFormat="1" ht="15" x14ac:dyDescent="0.25">
      <c r="A1447" s="39" t="s">
        <v>883</v>
      </c>
      <c r="B1447" s="97" t="s">
        <v>252</v>
      </c>
      <c r="C1447" s="103" t="s">
        <v>253</v>
      </c>
      <c r="D1447" s="103"/>
      <c r="E1447" s="103"/>
      <c r="F1447" s="103"/>
      <c r="G1447" s="103"/>
      <c r="H1447" s="41" t="s">
        <v>125</v>
      </c>
      <c r="I1447" s="42">
        <v>0.01</v>
      </c>
      <c r="J1447" s="43">
        <v>1</v>
      </c>
      <c r="K1447" s="62">
        <v>0.01</v>
      </c>
      <c r="L1447" s="45"/>
      <c r="M1447" s="42"/>
      <c r="N1447" s="45"/>
      <c r="O1447" s="42"/>
      <c r="P1447" s="50">
        <v>0</v>
      </c>
      <c r="Q1447" s="82"/>
      <c r="R1447" s="82"/>
      <c r="S1447" s="82"/>
      <c r="T1447" s="82"/>
      <c r="U1447" s="153"/>
      <c r="V1447" s="82"/>
      <c r="W1447" s="168"/>
      <c r="X1447" s="82"/>
      <c r="Y1447" s="82"/>
      <c r="Z1447" s="82"/>
      <c r="AA1447" s="82"/>
      <c r="AB1447" s="145"/>
      <c r="AC1447" s="145"/>
      <c r="AD1447" s="145"/>
      <c r="AE1447" s="145"/>
      <c r="AF1447" s="145"/>
      <c r="AG1447" s="145"/>
      <c r="AH1447" s="145"/>
      <c r="AI1447" s="145"/>
      <c r="AJ1447" s="145"/>
      <c r="AK1447" s="145"/>
      <c r="AL1447" s="145"/>
      <c r="AM1447" s="145"/>
      <c r="AN1447" s="145"/>
      <c r="AO1447" s="145"/>
      <c r="AP1447" s="145"/>
      <c r="AQ1447" s="145"/>
      <c r="AR1447" s="145"/>
      <c r="AS1447" s="145"/>
      <c r="AT1447" s="145"/>
      <c r="AU1447" s="145"/>
      <c r="AV1447" s="146"/>
      <c r="AW1447" s="146"/>
      <c r="AX1447" s="146"/>
      <c r="AY1447" s="146"/>
      <c r="AZ1447" s="145"/>
      <c r="BA1447" s="146"/>
      <c r="BB1447" s="145"/>
      <c r="BC1447" s="145"/>
      <c r="BD1447" s="145"/>
      <c r="BE1447" s="145"/>
      <c r="BF1447" s="145"/>
      <c r="BG1447" s="145"/>
      <c r="BH1447" s="145"/>
      <c r="BI1447" s="145"/>
      <c r="BJ1447" s="145"/>
      <c r="BK1447" s="145"/>
    </row>
    <row r="1448" spans="1:63" s="147" customFormat="1" ht="15" x14ac:dyDescent="0.25">
      <c r="A1448" s="47"/>
      <c r="B1448" s="48"/>
      <c r="C1448" s="102" t="s">
        <v>56</v>
      </c>
      <c r="D1448" s="102"/>
      <c r="E1448" s="102"/>
      <c r="F1448" s="102"/>
      <c r="G1448" s="102"/>
      <c r="H1448" s="41"/>
      <c r="I1448" s="42"/>
      <c r="J1448" s="42"/>
      <c r="K1448" s="42"/>
      <c r="L1448" s="45"/>
      <c r="M1448" s="42"/>
      <c r="N1448" s="49"/>
      <c r="O1448" s="42"/>
      <c r="P1448" s="50">
        <v>288.6155</v>
      </c>
      <c r="Q1448" s="157"/>
      <c r="R1448" s="157"/>
      <c r="S1448" s="82"/>
      <c r="T1448" s="82"/>
      <c r="U1448" s="156"/>
      <c r="V1448" s="82"/>
      <c r="W1448" s="151"/>
      <c r="X1448" s="82"/>
      <c r="Y1448" s="82"/>
      <c r="Z1448" s="82"/>
      <c r="AA1448" s="82"/>
      <c r="AB1448" s="145"/>
      <c r="AC1448" s="145"/>
      <c r="AD1448" s="145"/>
      <c r="AE1448" s="145"/>
      <c r="AF1448" s="145"/>
      <c r="AG1448" s="145"/>
      <c r="AH1448" s="145"/>
      <c r="AI1448" s="145"/>
      <c r="AJ1448" s="145"/>
      <c r="AK1448" s="145"/>
      <c r="AL1448" s="145"/>
      <c r="AM1448" s="145"/>
      <c r="AN1448" s="145"/>
      <c r="AO1448" s="145"/>
      <c r="AP1448" s="145"/>
      <c r="AQ1448" s="145"/>
      <c r="AR1448" s="145"/>
      <c r="AS1448" s="145"/>
      <c r="AT1448" s="145"/>
      <c r="AU1448" s="145"/>
      <c r="AV1448" s="146"/>
      <c r="AW1448" s="146"/>
      <c r="AX1448" s="146"/>
      <c r="AY1448" s="146"/>
      <c r="AZ1448" s="145"/>
      <c r="BA1448" s="146"/>
      <c r="BB1448" s="145"/>
      <c r="BC1448" s="145"/>
      <c r="BD1448" s="145"/>
      <c r="BE1448" s="145"/>
      <c r="BF1448" s="145"/>
      <c r="BG1448" s="145"/>
      <c r="BH1448" s="145"/>
      <c r="BI1448" s="145"/>
      <c r="BJ1448" s="145"/>
      <c r="BK1448" s="145"/>
    </row>
    <row r="1449" spans="1:63" s="147" customFormat="1" ht="15" x14ac:dyDescent="0.25">
      <c r="A1449" s="52"/>
      <c r="B1449" s="53"/>
      <c r="C1449" s="104" t="s">
        <v>57</v>
      </c>
      <c r="D1449" s="104"/>
      <c r="E1449" s="104"/>
      <c r="F1449" s="104"/>
      <c r="G1449" s="104"/>
      <c r="H1449" s="54"/>
      <c r="I1449" s="55"/>
      <c r="J1449" s="55"/>
      <c r="K1449" s="55"/>
      <c r="L1449" s="56"/>
      <c r="M1449" s="55"/>
      <c r="N1449" s="56"/>
      <c r="O1449" s="55"/>
      <c r="P1449" s="77">
        <v>286.45349999999996</v>
      </c>
      <c r="Q1449" s="82"/>
      <c r="R1449" s="82"/>
      <c r="S1449" s="82"/>
      <c r="T1449" s="82"/>
      <c r="U1449" s="170"/>
      <c r="V1449" s="82"/>
      <c r="W1449" s="160"/>
      <c r="X1449" s="82"/>
      <c r="Y1449" s="82"/>
      <c r="Z1449" s="82"/>
      <c r="AA1449" s="82"/>
      <c r="AB1449" s="145"/>
      <c r="AC1449" s="145"/>
      <c r="AD1449" s="145"/>
      <c r="AE1449" s="145"/>
      <c r="AF1449" s="145"/>
      <c r="AG1449" s="145"/>
      <c r="AH1449" s="145"/>
      <c r="AI1449" s="145"/>
      <c r="AJ1449" s="145"/>
      <c r="AK1449" s="145"/>
      <c r="AL1449" s="145"/>
      <c r="AM1449" s="145"/>
      <c r="AN1449" s="145"/>
      <c r="AO1449" s="145"/>
      <c r="AP1449" s="145"/>
      <c r="AQ1449" s="145"/>
      <c r="AR1449" s="145"/>
      <c r="AS1449" s="145"/>
      <c r="AT1449" s="145"/>
      <c r="AU1449" s="145"/>
      <c r="AV1449" s="146"/>
      <c r="AW1449" s="146"/>
      <c r="AX1449" s="146"/>
      <c r="AY1449" s="146"/>
      <c r="AZ1449" s="145"/>
      <c r="BA1449" s="146"/>
      <c r="BB1449" s="145"/>
      <c r="BC1449" s="145"/>
      <c r="BD1449" s="145"/>
      <c r="BE1449" s="145"/>
      <c r="BF1449" s="145"/>
      <c r="BG1449" s="145"/>
      <c r="BH1449" s="145"/>
      <c r="BI1449" s="145"/>
      <c r="BJ1449" s="145"/>
      <c r="BK1449" s="145"/>
    </row>
    <row r="1450" spans="1:63" s="147" customFormat="1" ht="15" x14ac:dyDescent="0.25">
      <c r="A1450" s="52"/>
      <c r="B1450" s="53" t="s">
        <v>215</v>
      </c>
      <c r="C1450" s="104" t="s">
        <v>216</v>
      </c>
      <c r="D1450" s="104"/>
      <c r="E1450" s="104"/>
      <c r="F1450" s="104"/>
      <c r="G1450" s="104"/>
      <c r="H1450" s="54" t="s">
        <v>60</v>
      </c>
      <c r="I1450" s="58">
        <v>121</v>
      </c>
      <c r="J1450" s="55"/>
      <c r="K1450" s="58">
        <v>121</v>
      </c>
      <c r="L1450" s="56"/>
      <c r="M1450" s="55"/>
      <c r="N1450" s="56"/>
      <c r="O1450" s="55"/>
      <c r="P1450" s="77">
        <v>346.60999999999996</v>
      </c>
      <c r="Q1450" s="82"/>
      <c r="R1450" s="82"/>
      <c r="S1450" s="82"/>
      <c r="T1450" s="82"/>
      <c r="U1450" s="170"/>
      <c r="V1450" s="82"/>
      <c r="W1450" s="164"/>
      <c r="X1450" s="82"/>
      <c r="Y1450" s="82"/>
      <c r="Z1450" s="82"/>
      <c r="AA1450" s="82"/>
      <c r="AB1450" s="145"/>
      <c r="AC1450" s="145"/>
      <c r="AD1450" s="145"/>
      <c r="AE1450" s="145"/>
      <c r="AF1450" s="145"/>
      <c r="AG1450" s="145"/>
      <c r="AH1450" s="145"/>
      <c r="AI1450" s="145"/>
      <c r="AJ1450" s="145"/>
      <c r="AK1450" s="145"/>
      <c r="AL1450" s="145"/>
      <c r="AM1450" s="145"/>
      <c r="AN1450" s="145"/>
      <c r="AO1450" s="145"/>
      <c r="AP1450" s="145"/>
      <c r="AQ1450" s="145"/>
      <c r="AR1450" s="145"/>
      <c r="AS1450" s="145"/>
      <c r="AT1450" s="145"/>
      <c r="AU1450" s="145"/>
      <c r="AV1450" s="146"/>
      <c r="AW1450" s="146"/>
      <c r="AX1450" s="146"/>
      <c r="AY1450" s="146"/>
      <c r="AZ1450" s="145"/>
      <c r="BA1450" s="146"/>
      <c r="BB1450" s="145"/>
      <c r="BC1450" s="145"/>
      <c r="BD1450" s="145"/>
      <c r="BE1450" s="145"/>
      <c r="BF1450" s="145"/>
      <c r="BG1450" s="145"/>
      <c r="BH1450" s="145"/>
      <c r="BI1450" s="145"/>
      <c r="BJ1450" s="145"/>
      <c r="BK1450" s="145"/>
    </row>
    <row r="1451" spans="1:63" s="147" customFormat="1" ht="15" x14ac:dyDescent="0.25">
      <c r="A1451" s="52"/>
      <c r="B1451" s="53" t="s">
        <v>217</v>
      </c>
      <c r="C1451" s="104" t="s">
        <v>218</v>
      </c>
      <c r="D1451" s="104"/>
      <c r="E1451" s="104"/>
      <c r="F1451" s="104"/>
      <c r="G1451" s="104"/>
      <c r="H1451" s="54" t="s">
        <v>60</v>
      </c>
      <c r="I1451" s="58">
        <v>72</v>
      </c>
      <c r="J1451" s="55"/>
      <c r="K1451" s="58">
        <v>72</v>
      </c>
      <c r="L1451" s="56"/>
      <c r="M1451" s="55"/>
      <c r="N1451" s="56"/>
      <c r="O1451" s="55"/>
      <c r="P1451" s="77">
        <v>206.24099999999999</v>
      </c>
      <c r="Q1451" s="82"/>
      <c r="R1451" s="82"/>
      <c r="S1451" s="82"/>
      <c r="T1451" s="82"/>
      <c r="U1451" s="170"/>
      <c r="V1451" s="82"/>
      <c r="W1451" s="164"/>
      <c r="X1451" s="82"/>
      <c r="Y1451" s="82"/>
      <c r="Z1451" s="82"/>
      <c r="AA1451" s="82"/>
      <c r="AB1451" s="145"/>
      <c r="AC1451" s="145"/>
      <c r="AD1451" s="145"/>
      <c r="AE1451" s="145"/>
      <c r="AF1451" s="145"/>
      <c r="AG1451" s="145"/>
      <c r="AH1451" s="145"/>
      <c r="AI1451" s="145"/>
      <c r="AJ1451" s="145"/>
      <c r="AK1451" s="145"/>
      <c r="AL1451" s="145"/>
      <c r="AM1451" s="145"/>
      <c r="AN1451" s="145"/>
      <c r="AO1451" s="145"/>
      <c r="AP1451" s="145"/>
      <c r="AQ1451" s="145"/>
      <c r="AR1451" s="145"/>
      <c r="AS1451" s="145"/>
      <c r="AT1451" s="145"/>
      <c r="AU1451" s="145"/>
      <c r="AV1451" s="146"/>
      <c r="AW1451" s="146"/>
      <c r="AX1451" s="146"/>
      <c r="AY1451" s="146"/>
      <c r="AZ1451" s="145"/>
      <c r="BA1451" s="146"/>
      <c r="BB1451" s="145"/>
      <c r="BC1451" s="145"/>
      <c r="BD1451" s="145"/>
      <c r="BE1451" s="145"/>
      <c r="BF1451" s="145"/>
      <c r="BG1451" s="145"/>
      <c r="BH1451" s="145"/>
      <c r="BI1451" s="145"/>
      <c r="BJ1451" s="145"/>
      <c r="BK1451" s="145"/>
    </row>
    <row r="1452" spans="1:63" s="147" customFormat="1" ht="15" x14ac:dyDescent="0.25">
      <c r="A1452" s="59"/>
      <c r="B1452" s="98"/>
      <c r="C1452" s="102" t="s">
        <v>63</v>
      </c>
      <c r="D1452" s="102"/>
      <c r="E1452" s="102"/>
      <c r="F1452" s="102"/>
      <c r="G1452" s="102"/>
      <c r="H1452" s="41"/>
      <c r="I1452" s="42"/>
      <c r="J1452" s="42"/>
      <c r="K1452" s="42"/>
      <c r="L1452" s="45"/>
      <c r="M1452" s="42"/>
      <c r="N1452" s="49">
        <v>73171</v>
      </c>
      <c r="O1452" s="42"/>
      <c r="P1452" s="50">
        <v>841.4665</v>
      </c>
      <c r="Q1452" s="82"/>
      <c r="R1452" s="82"/>
      <c r="S1452" s="82"/>
      <c r="T1452" s="82"/>
      <c r="U1452" s="167"/>
      <c r="V1452" s="82"/>
      <c r="W1452" s="151"/>
      <c r="X1452" s="82"/>
      <c r="Y1452" s="82"/>
      <c r="Z1452" s="82"/>
      <c r="AA1452" s="82"/>
      <c r="AB1452" s="145"/>
      <c r="AC1452" s="145"/>
      <c r="AD1452" s="145"/>
      <c r="AE1452" s="145"/>
      <c r="AF1452" s="145"/>
      <c r="AG1452" s="145"/>
      <c r="AH1452" s="145"/>
      <c r="AI1452" s="145"/>
      <c r="AJ1452" s="145"/>
      <c r="AK1452" s="145"/>
      <c r="AL1452" s="145"/>
      <c r="AM1452" s="145"/>
      <c r="AN1452" s="145"/>
      <c r="AO1452" s="145"/>
      <c r="AP1452" s="145"/>
      <c r="AQ1452" s="145"/>
      <c r="AR1452" s="145"/>
      <c r="AS1452" s="145"/>
      <c r="AT1452" s="145"/>
      <c r="AU1452" s="145"/>
      <c r="AV1452" s="146"/>
      <c r="AW1452" s="146"/>
      <c r="AX1452" s="146"/>
      <c r="AY1452" s="146"/>
      <c r="AZ1452" s="145"/>
      <c r="BA1452" s="146"/>
      <c r="BB1452" s="145"/>
      <c r="BC1452" s="145"/>
      <c r="BD1452" s="145"/>
      <c r="BE1452" s="145"/>
      <c r="BF1452" s="145"/>
      <c r="BG1452" s="145"/>
      <c r="BH1452" s="145"/>
      <c r="BI1452" s="145"/>
      <c r="BJ1452" s="145"/>
      <c r="BK1452" s="145"/>
    </row>
    <row r="1453" spans="1:63" s="147" customFormat="1" ht="15" x14ac:dyDescent="0.25">
      <c r="A1453" s="39" t="s">
        <v>884</v>
      </c>
      <c r="B1453" s="97" t="s">
        <v>255</v>
      </c>
      <c r="C1453" s="103" t="s">
        <v>256</v>
      </c>
      <c r="D1453" s="103"/>
      <c r="E1453" s="103"/>
      <c r="F1453" s="103"/>
      <c r="G1453" s="103"/>
      <c r="H1453" s="41" t="s">
        <v>244</v>
      </c>
      <c r="I1453" s="42">
        <v>0.998</v>
      </c>
      <c r="J1453" s="43">
        <v>1</v>
      </c>
      <c r="K1453" s="66">
        <v>0.998</v>
      </c>
      <c r="L1453" s="61">
        <v>134</v>
      </c>
      <c r="M1453" s="62">
        <v>1.01</v>
      </c>
      <c r="N1453" s="61">
        <v>135.34</v>
      </c>
      <c r="O1453" s="42"/>
      <c r="P1453" s="50">
        <v>155.33049999999997</v>
      </c>
      <c r="Q1453" s="82"/>
      <c r="R1453" s="82"/>
      <c r="S1453" s="82"/>
      <c r="T1453" s="82"/>
      <c r="U1453" s="167"/>
      <c r="V1453" s="82"/>
      <c r="W1453" s="171"/>
      <c r="X1453" s="82"/>
      <c r="Y1453" s="82"/>
      <c r="Z1453" s="82"/>
      <c r="AA1453" s="82"/>
      <c r="AB1453" s="145"/>
      <c r="AC1453" s="145"/>
      <c r="AD1453" s="145"/>
      <c r="AE1453" s="145"/>
      <c r="AF1453" s="145"/>
      <c r="AG1453" s="145"/>
      <c r="AH1453" s="145"/>
      <c r="AI1453" s="145"/>
      <c r="AJ1453" s="145"/>
      <c r="AK1453" s="145"/>
      <c r="AL1453" s="145"/>
      <c r="AM1453" s="145"/>
      <c r="AN1453" s="145"/>
      <c r="AO1453" s="145"/>
      <c r="AP1453" s="145"/>
      <c r="AQ1453" s="145"/>
      <c r="AR1453" s="145"/>
      <c r="AS1453" s="145"/>
      <c r="AT1453" s="145"/>
      <c r="AU1453" s="145"/>
      <c r="AV1453" s="146"/>
      <c r="AW1453" s="146"/>
      <c r="AX1453" s="146"/>
      <c r="AY1453" s="146"/>
      <c r="AZ1453" s="145"/>
      <c r="BA1453" s="146"/>
      <c r="BB1453" s="145"/>
      <c r="BC1453" s="145"/>
      <c r="BD1453" s="145"/>
      <c r="BE1453" s="145"/>
      <c r="BF1453" s="145"/>
      <c r="BG1453" s="145"/>
      <c r="BH1453" s="145"/>
      <c r="BI1453" s="145"/>
      <c r="BJ1453" s="145"/>
      <c r="BK1453" s="145"/>
    </row>
    <row r="1454" spans="1:63" s="147" customFormat="1" ht="15" x14ac:dyDescent="0.25">
      <c r="A1454" s="59"/>
      <c r="B1454" s="98"/>
      <c r="C1454" s="102" t="s">
        <v>63</v>
      </c>
      <c r="D1454" s="102"/>
      <c r="E1454" s="102"/>
      <c r="F1454" s="102"/>
      <c r="G1454" s="102"/>
      <c r="H1454" s="41"/>
      <c r="I1454" s="42"/>
      <c r="J1454" s="42"/>
      <c r="K1454" s="42"/>
      <c r="L1454" s="45"/>
      <c r="M1454" s="42"/>
      <c r="N1454" s="45"/>
      <c r="O1454" s="42"/>
      <c r="P1454" s="50">
        <v>155.33049999999997</v>
      </c>
      <c r="Q1454" s="82"/>
      <c r="R1454" s="82"/>
      <c r="S1454" s="82"/>
      <c r="T1454" s="82"/>
      <c r="U1454" s="167"/>
      <c r="V1454" s="82"/>
      <c r="W1454" s="151"/>
      <c r="X1454" s="82"/>
      <c r="Y1454" s="82"/>
      <c r="Z1454" s="82"/>
      <c r="AA1454" s="82"/>
      <c r="AB1454" s="145"/>
      <c r="AC1454" s="145"/>
      <c r="AD1454" s="145"/>
      <c r="AE1454" s="145"/>
      <c r="AF1454" s="145"/>
      <c r="AG1454" s="145"/>
      <c r="AH1454" s="145"/>
      <c r="AI1454" s="145"/>
      <c r="AJ1454" s="145"/>
      <c r="AK1454" s="145"/>
      <c r="AL1454" s="145"/>
      <c r="AM1454" s="145"/>
      <c r="AN1454" s="145"/>
      <c r="AO1454" s="145"/>
      <c r="AP1454" s="145"/>
      <c r="AQ1454" s="145"/>
      <c r="AR1454" s="145"/>
      <c r="AS1454" s="145"/>
      <c r="AT1454" s="145"/>
      <c r="AU1454" s="145"/>
      <c r="AV1454" s="146"/>
      <c r="AW1454" s="146"/>
      <c r="AX1454" s="146"/>
      <c r="AY1454" s="146"/>
      <c r="AZ1454" s="145"/>
      <c r="BA1454" s="146"/>
      <c r="BB1454" s="145"/>
      <c r="BC1454" s="145"/>
      <c r="BD1454" s="145"/>
      <c r="BE1454" s="145"/>
      <c r="BF1454" s="145"/>
      <c r="BG1454" s="145"/>
      <c r="BH1454" s="145"/>
      <c r="BI1454" s="145"/>
      <c r="BJ1454" s="145"/>
      <c r="BK1454" s="145"/>
    </row>
    <row r="1455" spans="1:63" s="147" customFormat="1" ht="15" x14ac:dyDescent="0.25">
      <c r="A1455" s="39" t="s">
        <v>885</v>
      </c>
      <c r="B1455" s="97" t="s">
        <v>258</v>
      </c>
      <c r="C1455" s="103" t="s">
        <v>259</v>
      </c>
      <c r="D1455" s="103"/>
      <c r="E1455" s="103"/>
      <c r="F1455" s="103"/>
      <c r="G1455" s="103"/>
      <c r="H1455" s="41" t="s">
        <v>83</v>
      </c>
      <c r="I1455" s="42">
        <v>1</v>
      </c>
      <c r="J1455" s="43">
        <v>1</v>
      </c>
      <c r="K1455" s="43">
        <v>1</v>
      </c>
      <c r="L1455" s="61">
        <v>26.78</v>
      </c>
      <c r="M1455" s="62">
        <v>1.01</v>
      </c>
      <c r="N1455" s="61">
        <v>27.05</v>
      </c>
      <c r="O1455" s="42"/>
      <c r="P1455" s="50">
        <v>31.107499999999998</v>
      </c>
      <c r="Q1455" s="82"/>
      <c r="R1455" s="82"/>
      <c r="S1455" s="82"/>
      <c r="T1455" s="82"/>
      <c r="U1455" s="167"/>
      <c r="V1455" s="82"/>
      <c r="W1455" s="152"/>
      <c r="X1455" s="82"/>
      <c r="Y1455" s="82"/>
      <c r="Z1455" s="82"/>
      <c r="AA1455" s="82"/>
      <c r="AB1455" s="145"/>
      <c r="AC1455" s="145"/>
      <c r="AD1455" s="145"/>
      <c r="AE1455" s="145"/>
      <c r="AF1455" s="145"/>
      <c r="AG1455" s="145"/>
      <c r="AH1455" s="145"/>
      <c r="AI1455" s="145"/>
      <c r="AJ1455" s="145"/>
      <c r="AK1455" s="145"/>
      <c r="AL1455" s="145"/>
      <c r="AM1455" s="145"/>
      <c r="AN1455" s="145"/>
      <c r="AO1455" s="145"/>
      <c r="AP1455" s="145"/>
      <c r="AQ1455" s="145"/>
      <c r="AR1455" s="145"/>
      <c r="AS1455" s="145"/>
      <c r="AT1455" s="145"/>
      <c r="AU1455" s="145"/>
      <c r="AV1455" s="146"/>
      <c r="AW1455" s="146"/>
      <c r="AX1455" s="146"/>
      <c r="AY1455" s="146"/>
      <c r="AZ1455" s="145"/>
      <c r="BA1455" s="146"/>
      <c r="BB1455" s="145"/>
      <c r="BC1455" s="145"/>
      <c r="BD1455" s="145"/>
      <c r="BE1455" s="145"/>
      <c r="BF1455" s="145"/>
      <c r="BG1455" s="145"/>
      <c r="BH1455" s="145"/>
      <c r="BI1455" s="145"/>
      <c r="BJ1455" s="145"/>
      <c r="BK1455" s="145"/>
    </row>
    <row r="1456" spans="1:63" s="147" customFormat="1" ht="15" x14ac:dyDescent="0.25">
      <c r="A1456" s="59"/>
      <c r="B1456" s="98"/>
      <c r="C1456" s="102" t="s">
        <v>63</v>
      </c>
      <c r="D1456" s="102"/>
      <c r="E1456" s="102"/>
      <c r="F1456" s="102"/>
      <c r="G1456" s="102"/>
      <c r="H1456" s="41"/>
      <c r="I1456" s="42"/>
      <c r="J1456" s="42"/>
      <c r="K1456" s="42"/>
      <c r="L1456" s="45"/>
      <c r="M1456" s="42"/>
      <c r="N1456" s="45"/>
      <c r="O1456" s="42"/>
      <c r="P1456" s="50">
        <v>31.107499999999998</v>
      </c>
      <c r="Q1456" s="82"/>
      <c r="R1456" s="82"/>
      <c r="S1456" s="82"/>
      <c r="T1456" s="82"/>
      <c r="U1456" s="167"/>
      <c r="V1456" s="82"/>
      <c r="W1456" s="151"/>
      <c r="X1456" s="82"/>
      <c r="Y1456" s="82"/>
      <c r="Z1456" s="82"/>
      <c r="AA1456" s="82"/>
      <c r="AB1456" s="145"/>
      <c r="AC1456" s="145"/>
      <c r="AD1456" s="145"/>
      <c r="AE1456" s="145"/>
      <c r="AF1456" s="145"/>
      <c r="AG1456" s="145"/>
      <c r="AH1456" s="145"/>
      <c r="AI1456" s="145"/>
      <c r="AJ1456" s="145"/>
      <c r="AK1456" s="145"/>
      <c r="AL1456" s="145"/>
      <c r="AM1456" s="145"/>
      <c r="AN1456" s="145"/>
      <c r="AO1456" s="145"/>
      <c r="AP1456" s="145"/>
      <c r="AQ1456" s="145"/>
      <c r="AR1456" s="145"/>
      <c r="AS1456" s="145"/>
      <c r="AT1456" s="145"/>
      <c r="AU1456" s="145"/>
      <c r="AV1456" s="146"/>
      <c r="AW1456" s="146"/>
      <c r="AX1456" s="146"/>
      <c r="AY1456" s="146"/>
      <c r="AZ1456" s="145"/>
      <c r="BA1456" s="146"/>
      <c r="BB1456" s="145"/>
      <c r="BC1456" s="145"/>
      <c r="BD1456" s="145"/>
      <c r="BE1456" s="145"/>
      <c r="BF1456" s="145"/>
      <c r="BG1456" s="145"/>
      <c r="BH1456" s="145"/>
      <c r="BI1456" s="145"/>
      <c r="BJ1456" s="145"/>
      <c r="BK1456" s="145"/>
    </row>
    <row r="1457" spans="1:63" s="147" customFormat="1" ht="33.75" x14ac:dyDescent="0.25">
      <c r="A1457" s="39" t="s">
        <v>886</v>
      </c>
      <c r="B1457" s="97" t="s">
        <v>261</v>
      </c>
      <c r="C1457" s="103" t="s">
        <v>262</v>
      </c>
      <c r="D1457" s="103"/>
      <c r="E1457" s="103"/>
      <c r="F1457" s="103"/>
      <c r="G1457" s="103"/>
      <c r="H1457" s="41" t="s">
        <v>263</v>
      </c>
      <c r="I1457" s="42">
        <v>0.14000000000000001</v>
      </c>
      <c r="J1457" s="43">
        <v>1</v>
      </c>
      <c r="K1457" s="62">
        <v>0.14000000000000001</v>
      </c>
      <c r="L1457" s="45"/>
      <c r="M1457" s="42"/>
      <c r="N1457" s="45"/>
      <c r="O1457" s="42"/>
      <c r="P1457" s="50"/>
      <c r="Q1457" s="82"/>
      <c r="R1457" s="82"/>
      <c r="S1457" s="82"/>
      <c r="T1457" s="82"/>
      <c r="U1457" s="153"/>
      <c r="V1457" s="82"/>
      <c r="W1457" s="168"/>
      <c r="X1457" s="82"/>
      <c r="Y1457" s="82"/>
      <c r="Z1457" s="82"/>
      <c r="AA1457" s="82"/>
      <c r="AB1457" s="145"/>
      <c r="AC1457" s="145"/>
      <c r="AD1457" s="145"/>
      <c r="AE1457" s="145"/>
      <c r="AF1457" s="145"/>
      <c r="AG1457" s="145"/>
      <c r="AH1457" s="145"/>
      <c r="AI1457" s="145"/>
      <c r="AJ1457" s="145"/>
      <c r="AK1457" s="145"/>
      <c r="AL1457" s="145"/>
      <c r="AM1457" s="145"/>
      <c r="AN1457" s="145"/>
      <c r="AO1457" s="145"/>
      <c r="AP1457" s="145"/>
      <c r="AQ1457" s="145"/>
      <c r="AR1457" s="145"/>
      <c r="AS1457" s="145"/>
      <c r="AT1457" s="145"/>
      <c r="AU1457" s="145"/>
      <c r="AV1457" s="146"/>
      <c r="AW1457" s="146"/>
      <c r="AX1457" s="146"/>
      <c r="AY1457" s="146"/>
      <c r="AZ1457" s="145"/>
      <c r="BA1457" s="146"/>
      <c r="BB1457" s="145"/>
      <c r="BC1457" s="145"/>
      <c r="BD1457" s="145"/>
      <c r="BE1457" s="145"/>
      <c r="BF1457" s="145"/>
      <c r="BG1457" s="145"/>
      <c r="BH1457" s="145"/>
      <c r="BI1457" s="145"/>
      <c r="BJ1457" s="145"/>
      <c r="BK1457" s="145"/>
    </row>
    <row r="1458" spans="1:63" s="147" customFormat="1" ht="15" x14ac:dyDescent="0.25">
      <c r="A1458" s="47"/>
      <c r="B1458" s="48"/>
      <c r="C1458" s="102" t="s">
        <v>56</v>
      </c>
      <c r="D1458" s="102"/>
      <c r="E1458" s="102"/>
      <c r="F1458" s="102"/>
      <c r="G1458" s="102"/>
      <c r="H1458" s="41"/>
      <c r="I1458" s="42"/>
      <c r="J1458" s="42"/>
      <c r="K1458" s="42"/>
      <c r="L1458" s="45"/>
      <c r="M1458" s="42"/>
      <c r="N1458" s="49"/>
      <c r="O1458" s="42"/>
      <c r="P1458" s="50">
        <v>147.51050000000001</v>
      </c>
      <c r="Q1458" s="157"/>
      <c r="R1458" s="157"/>
      <c r="S1458" s="82"/>
      <c r="T1458" s="82"/>
      <c r="U1458" s="156"/>
      <c r="V1458" s="82"/>
      <c r="W1458" s="151"/>
      <c r="X1458" s="82"/>
      <c r="Y1458" s="82"/>
      <c r="Z1458" s="82"/>
      <c r="AA1458" s="82"/>
      <c r="AB1458" s="145"/>
      <c r="AC1458" s="145"/>
      <c r="AD1458" s="145"/>
      <c r="AE1458" s="145"/>
      <c r="AF1458" s="145"/>
      <c r="AG1458" s="145"/>
      <c r="AH1458" s="145"/>
      <c r="AI1458" s="145"/>
      <c r="AJ1458" s="145"/>
      <c r="AK1458" s="145"/>
      <c r="AL1458" s="145"/>
      <c r="AM1458" s="145"/>
      <c r="AN1458" s="145"/>
      <c r="AO1458" s="145"/>
      <c r="AP1458" s="145"/>
      <c r="AQ1458" s="145"/>
      <c r="AR1458" s="145"/>
      <c r="AS1458" s="145"/>
      <c r="AT1458" s="145"/>
      <c r="AU1458" s="145"/>
      <c r="AV1458" s="146"/>
      <c r="AW1458" s="146"/>
      <c r="AX1458" s="146"/>
      <c r="AY1458" s="146"/>
      <c r="AZ1458" s="145"/>
      <c r="BA1458" s="146"/>
      <c r="BB1458" s="145"/>
      <c r="BC1458" s="145"/>
      <c r="BD1458" s="145"/>
      <c r="BE1458" s="145"/>
      <c r="BF1458" s="145"/>
      <c r="BG1458" s="145"/>
      <c r="BH1458" s="145"/>
      <c r="BI1458" s="145"/>
      <c r="BJ1458" s="145"/>
      <c r="BK1458" s="145"/>
    </row>
    <row r="1459" spans="1:63" s="147" customFormat="1" ht="15" x14ac:dyDescent="0.25">
      <c r="A1459" s="52"/>
      <c r="B1459" s="53"/>
      <c r="C1459" s="104" t="s">
        <v>57</v>
      </c>
      <c r="D1459" s="104"/>
      <c r="E1459" s="104"/>
      <c r="F1459" s="104"/>
      <c r="G1459" s="104"/>
      <c r="H1459" s="54"/>
      <c r="I1459" s="55"/>
      <c r="J1459" s="55"/>
      <c r="K1459" s="55"/>
      <c r="L1459" s="56"/>
      <c r="M1459" s="55"/>
      <c r="N1459" s="56"/>
      <c r="O1459" s="55"/>
      <c r="P1459" s="77">
        <v>147.51050000000001</v>
      </c>
      <c r="Q1459" s="82"/>
      <c r="R1459" s="82"/>
      <c r="S1459" s="82"/>
      <c r="T1459" s="82"/>
      <c r="U1459" s="170"/>
      <c r="V1459" s="82"/>
      <c r="W1459" s="160"/>
      <c r="X1459" s="82"/>
      <c r="Y1459" s="82"/>
      <c r="Z1459" s="82"/>
      <c r="AA1459" s="82"/>
      <c r="AB1459" s="145"/>
      <c r="AC1459" s="145"/>
      <c r="AD1459" s="145"/>
      <c r="AE1459" s="145"/>
      <c r="AF1459" s="145"/>
      <c r="AG1459" s="145"/>
      <c r="AH1459" s="145"/>
      <c r="AI1459" s="145"/>
      <c r="AJ1459" s="145"/>
      <c r="AK1459" s="145"/>
      <c r="AL1459" s="145"/>
      <c r="AM1459" s="145"/>
      <c r="AN1459" s="145"/>
      <c r="AO1459" s="145"/>
      <c r="AP1459" s="145"/>
      <c r="AQ1459" s="145"/>
      <c r="AR1459" s="145"/>
      <c r="AS1459" s="145"/>
      <c r="AT1459" s="145"/>
      <c r="AU1459" s="145"/>
      <c r="AV1459" s="146"/>
      <c r="AW1459" s="146"/>
      <c r="AX1459" s="146"/>
      <c r="AY1459" s="146"/>
      <c r="AZ1459" s="145"/>
      <c r="BA1459" s="146"/>
      <c r="BB1459" s="145"/>
      <c r="BC1459" s="145"/>
      <c r="BD1459" s="145"/>
      <c r="BE1459" s="145"/>
      <c r="BF1459" s="145"/>
      <c r="BG1459" s="145"/>
      <c r="BH1459" s="145"/>
      <c r="BI1459" s="145"/>
      <c r="BJ1459" s="145"/>
      <c r="BK1459" s="145"/>
    </row>
    <row r="1460" spans="1:63" s="147" customFormat="1" ht="15" x14ac:dyDescent="0.25">
      <c r="A1460" s="52"/>
      <c r="B1460" s="53" t="s">
        <v>215</v>
      </c>
      <c r="C1460" s="104" t="s">
        <v>216</v>
      </c>
      <c r="D1460" s="104"/>
      <c r="E1460" s="104"/>
      <c r="F1460" s="104"/>
      <c r="G1460" s="104"/>
      <c r="H1460" s="54" t="s">
        <v>60</v>
      </c>
      <c r="I1460" s="58">
        <v>121</v>
      </c>
      <c r="J1460" s="55"/>
      <c r="K1460" s="58">
        <v>121</v>
      </c>
      <c r="L1460" s="56"/>
      <c r="M1460" s="55"/>
      <c r="N1460" s="56"/>
      <c r="O1460" s="55"/>
      <c r="P1460" s="77">
        <v>178.4915</v>
      </c>
      <c r="Q1460" s="82"/>
      <c r="R1460" s="82"/>
      <c r="S1460" s="82"/>
      <c r="T1460" s="82"/>
      <c r="U1460" s="170"/>
      <c r="V1460" s="82"/>
      <c r="W1460" s="164"/>
      <c r="X1460" s="82"/>
      <c r="Y1460" s="82"/>
      <c r="Z1460" s="82"/>
      <c r="AA1460" s="82"/>
      <c r="AB1460" s="145"/>
      <c r="AC1460" s="145"/>
      <c r="AD1460" s="145"/>
      <c r="AE1460" s="145"/>
      <c r="AF1460" s="145"/>
      <c r="AG1460" s="145"/>
      <c r="AH1460" s="145"/>
      <c r="AI1460" s="145"/>
      <c r="AJ1460" s="145"/>
      <c r="AK1460" s="145"/>
      <c r="AL1460" s="145"/>
      <c r="AM1460" s="145"/>
      <c r="AN1460" s="145"/>
      <c r="AO1460" s="145"/>
      <c r="AP1460" s="145"/>
      <c r="AQ1460" s="145"/>
      <c r="AR1460" s="145"/>
      <c r="AS1460" s="145"/>
      <c r="AT1460" s="145"/>
      <c r="AU1460" s="145"/>
      <c r="AV1460" s="146"/>
      <c r="AW1460" s="146"/>
      <c r="AX1460" s="146"/>
      <c r="AY1460" s="146"/>
      <c r="AZ1460" s="145"/>
      <c r="BA1460" s="146"/>
      <c r="BB1460" s="145"/>
      <c r="BC1460" s="145"/>
      <c r="BD1460" s="145"/>
      <c r="BE1460" s="145"/>
      <c r="BF1460" s="145"/>
      <c r="BG1460" s="145"/>
      <c r="BH1460" s="145"/>
      <c r="BI1460" s="145"/>
      <c r="BJ1460" s="145"/>
      <c r="BK1460" s="145"/>
    </row>
    <row r="1461" spans="1:63" s="147" customFormat="1" ht="15" x14ac:dyDescent="0.25">
      <c r="A1461" s="52"/>
      <c r="B1461" s="53" t="s">
        <v>217</v>
      </c>
      <c r="C1461" s="104" t="s">
        <v>218</v>
      </c>
      <c r="D1461" s="104"/>
      <c r="E1461" s="104"/>
      <c r="F1461" s="104"/>
      <c r="G1461" s="104"/>
      <c r="H1461" s="54" t="s">
        <v>60</v>
      </c>
      <c r="I1461" s="58">
        <v>72</v>
      </c>
      <c r="J1461" s="55"/>
      <c r="K1461" s="58">
        <v>72</v>
      </c>
      <c r="L1461" s="56"/>
      <c r="M1461" s="55"/>
      <c r="N1461" s="56"/>
      <c r="O1461" s="55"/>
      <c r="P1461" s="77">
        <v>106.20249999999999</v>
      </c>
      <c r="Q1461" s="82"/>
      <c r="R1461" s="82"/>
      <c r="S1461" s="82"/>
      <c r="T1461" s="82"/>
      <c r="U1461" s="170"/>
      <c r="V1461" s="82"/>
      <c r="W1461" s="164"/>
      <c r="X1461" s="82"/>
      <c r="Y1461" s="82"/>
      <c r="Z1461" s="82"/>
      <c r="AA1461" s="82"/>
      <c r="AB1461" s="145"/>
      <c r="AC1461" s="145"/>
      <c r="AD1461" s="145"/>
      <c r="AE1461" s="145"/>
      <c r="AF1461" s="145"/>
      <c r="AG1461" s="145"/>
      <c r="AH1461" s="145"/>
      <c r="AI1461" s="145"/>
      <c r="AJ1461" s="145"/>
      <c r="AK1461" s="145"/>
      <c r="AL1461" s="145"/>
      <c r="AM1461" s="145"/>
      <c r="AN1461" s="145"/>
      <c r="AO1461" s="145"/>
      <c r="AP1461" s="145"/>
      <c r="AQ1461" s="145"/>
      <c r="AR1461" s="145"/>
      <c r="AS1461" s="145"/>
      <c r="AT1461" s="145"/>
      <c r="AU1461" s="145"/>
      <c r="AV1461" s="146"/>
      <c r="AW1461" s="146"/>
      <c r="AX1461" s="146"/>
      <c r="AY1461" s="146"/>
      <c r="AZ1461" s="145"/>
      <c r="BA1461" s="146"/>
      <c r="BB1461" s="145"/>
      <c r="BC1461" s="145"/>
      <c r="BD1461" s="145"/>
      <c r="BE1461" s="145"/>
      <c r="BF1461" s="145"/>
      <c r="BG1461" s="145"/>
      <c r="BH1461" s="145"/>
      <c r="BI1461" s="145"/>
      <c r="BJ1461" s="145"/>
      <c r="BK1461" s="145"/>
    </row>
    <row r="1462" spans="1:63" s="147" customFormat="1" ht="15" x14ac:dyDescent="0.25">
      <c r="A1462" s="59"/>
      <c r="B1462" s="98"/>
      <c r="C1462" s="102" t="s">
        <v>63</v>
      </c>
      <c r="D1462" s="102"/>
      <c r="E1462" s="102"/>
      <c r="F1462" s="102"/>
      <c r="G1462" s="102"/>
      <c r="H1462" s="41"/>
      <c r="I1462" s="42"/>
      <c r="J1462" s="42"/>
      <c r="K1462" s="42"/>
      <c r="L1462" s="45"/>
      <c r="M1462" s="42"/>
      <c r="N1462" s="49">
        <v>2684.5</v>
      </c>
      <c r="O1462" s="42"/>
      <c r="P1462" s="50">
        <v>432.20449999999994</v>
      </c>
      <c r="Q1462" s="82"/>
      <c r="R1462" s="82"/>
      <c r="S1462" s="82"/>
      <c r="T1462" s="82"/>
      <c r="U1462" s="167"/>
      <c r="V1462" s="82"/>
      <c r="W1462" s="151"/>
      <c r="X1462" s="82"/>
      <c r="Y1462" s="82"/>
      <c r="Z1462" s="82"/>
      <c r="AA1462" s="82"/>
      <c r="AB1462" s="145"/>
      <c r="AC1462" s="145"/>
      <c r="AD1462" s="145"/>
      <c r="AE1462" s="145"/>
      <c r="AF1462" s="145"/>
      <c r="AG1462" s="145"/>
      <c r="AH1462" s="145"/>
      <c r="AI1462" s="145"/>
      <c r="AJ1462" s="145"/>
      <c r="AK1462" s="145"/>
      <c r="AL1462" s="145"/>
      <c r="AM1462" s="145"/>
      <c r="AN1462" s="145"/>
      <c r="AO1462" s="145"/>
      <c r="AP1462" s="145"/>
      <c r="AQ1462" s="145"/>
      <c r="AR1462" s="145"/>
      <c r="AS1462" s="145"/>
      <c r="AT1462" s="145"/>
      <c r="AU1462" s="145"/>
      <c r="AV1462" s="146"/>
      <c r="AW1462" s="146"/>
      <c r="AX1462" s="146"/>
      <c r="AY1462" s="146"/>
      <c r="AZ1462" s="145"/>
      <c r="BA1462" s="146"/>
      <c r="BB1462" s="145"/>
      <c r="BC1462" s="145"/>
      <c r="BD1462" s="145"/>
      <c r="BE1462" s="145"/>
      <c r="BF1462" s="145"/>
      <c r="BG1462" s="145"/>
      <c r="BH1462" s="145"/>
      <c r="BI1462" s="145"/>
      <c r="BJ1462" s="145"/>
      <c r="BK1462" s="145"/>
    </row>
    <row r="1463" spans="1:63" s="147" customFormat="1" ht="15" x14ac:dyDescent="0.25">
      <c r="A1463" s="39" t="s">
        <v>887</v>
      </c>
      <c r="B1463" s="97" t="s">
        <v>265</v>
      </c>
      <c r="C1463" s="103" t="s">
        <v>266</v>
      </c>
      <c r="D1463" s="103"/>
      <c r="E1463" s="103"/>
      <c r="F1463" s="103"/>
      <c r="G1463" s="103"/>
      <c r="H1463" s="41" t="s">
        <v>125</v>
      </c>
      <c r="I1463" s="42">
        <v>0.05</v>
      </c>
      <c r="J1463" s="43">
        <v>1</v>
      </c>
      <c r="K1463" s="62">
        <v>0.05</v>
      </c>
      <c r="L1463" s="45"/>
      <c r="M1463" s="42"/>
      <c r="N1463" s="45"/>
      <c r="O1463" s="42"/>
      <c r="P1463" s="50"/>
      <c r="Q1463" s="82"/>
      <c r="R1463" s="82"/>
      <c r="S1463" s="82"/>
      <c r="T1463" s="82"/>
      <c r="U1463" s="153"/>
      <c r="V1463" s="82"/>
      <c r="W1463" s="168"/>
      <c r="X1463" s="82"/>
      <c r="Y1463" s="82"/>
      <c r="Z1463" s="82"/>
      <c r="AA1463" s="82"/>
      <c r="AB1463" s="145"/>
      <c r="AC1463" s="145"/>
      <c r="AD1463" s="145"/>
      <c r="AE1463" s="145"/>
      <c r="AF1463" s="145"/>
      <c r="AG1463" s="145"/>
      <c r="AH1463" s="145"/>
      <c r="AI1463" s="145"/>
      <c r="AJ1463" s="145"/>
      <c r="AK1463" s="145"/>
      <c r="AL1463" s="145"/>
      <c r="AM1463" s="145"/>
      <c r="AN1463" s="145"/>
      <c r="AO1463" s="145"/>
      <c r="AP1463" s="145"/>
      <c r="AQ1463" s="145"/>
      <c r="AR1463" s="145"/>
      <c r="AS1463" s="145"/>
      <c r="AT1463" s="145"/>
      <c r="AU1463" s="145"/>
      <c r="AV1463" s="146"/>
      <c r="AW1463" s="146"/>
      <c r="AX1463" s="146"/>
      <c r="AY1463" s="146"/>
      <c r="AZ1463" s="145"/>
      <c r="BA1463" s="146"/>
      <c r="BB1463" s="145"/>
      <c r="BC1463" s="145"/>
      <c r="BD1463" s="145"/>
      <c r="BE1463" s="145"/>
      <c r="BF1463" s="145"/>
      <c r="BG1463" s="145"/>
      <c r="BH1463" s="145"/>
      <c r="BI1463" s="145"/>
      <c r="BJ1463" s="145"/>
      <c r="BK1463" s="145"/>
    </row>
    <row r="1464" spans="1:63" s="147" customFormat="1" ht="15" x14ac:dyDescent="0.25">
      <c r="A1464" s="47"/>
      <c r="B1464" s="48"/>
      <c r="C1464" s="102" t="s">
        <v>56</v>
      </c>
      <c r="D1464" s="102"/>
      <c r="E1464" s="102"/>
      <c r="F1464" s="102"/>
      <c r="G1464" s="102"/>
      <c r="H1464" s="41"/>
      <c r="I1464" s="42"/>
      <c r="J1464" s="42"/>
      <c r="K1464" s="42"/>
      <c r="L1464" s="45"/>
      <c r="M1464" s="42"/>
      <c r="N1464" s="49"/>
      <c r="O1464" s="42"/>
      <c r="P1464" s="50">
        <v>345.01149999999996</v>
      </c>
      <c r="Q1464" s="157"/>
      <c r="R1464" s="157"/>
      <c r="S1464" s="82"/>
      <c r="T1464" s="82"/>
      <c r="U1464" s="156"/>
      <c r="V1464" s="82"/>
      <c r="W1464" s="151"/>
      <c r="X1464" s="82"/>
      <c r="Y1464" s="82"/>
      <c r="Z1464" s="82"/>
      <c r="AA1464" s="82"/>
      <c r="AB1464" s="145"/>
      <c r="AC1464" s="145"/>
      <c r="AD1464" s="145"/>
      <c r="AE1464" s="145"/>
      <c r="AF1464" s="145"/>
      <c r="AG1464" s="145"/>
      <c r="AH1464" s="145"/>
      <c r="AI1464" s="145"/>
      <c r="AJ1464" s="145"/>
      <c r="AK1464" s="145"/>
      <c r="AL1464" s="145"/>
      <c r="AM1464" s="145"/>
      <c r="AN1464" s="145"/>
      <c r="AO1464" s="145"/>
      <c r="AP1464" s="145"/>
      <c r="AQ1464" s="145"/>
      <c r="AR1464" s="145"/>
      <c r="AS1464" s="145"/>
      <c r="AT1464" s="145"/>
      <c r="AU1464" s="145"/>
      <c r="AV1464" s="146"/>
      <c r="AW1464" s="146"/>
      <c r="AX1464" s="146"/>
      <c r="AY1464" s="146"/>
      <c r="AZ1464" s="145"/>
      <c r="BA1464" s="146"/>
      <c r="BB1464" s="145"/>
      <c r="BC1464" s="145"/>
      <c r="BD1464" s="145"/>
      <c r="BE1464" s="145"/>
      <c r="BF1464" s="145"/>
      <c r="BG1464" s="145"/>
      <c r="BH1464" s="145"/>
      <c r="BI1464" s="145"/>
      <c r="BJ1464" s="145"/>
      <c r="BK1464" s="145"/>
    </row>
    <row r="1465" spans="1:63" s="147" customFormat="1" ht="15" x14ac:dyDescent="0.25">
      <c r="A1465" s="52"/>
      <c r="B1465" s="53"/>
      <c r="C1465" s="104" t="s">
        <v>57</v>
      </c>
      <c r="D1465" s="104"/>
      <c r="E1465" s="104"/>
      <c r="F1465" s="104"/>
      <c r="G1465" s="104"/>
      <c r="H1465" s="54"/>
      <c r="I1465" s="55"/>
      <c r="J1465" s="55"/>
      <c r="K1465" s="55"/>
      <c r="L1465" s="56"/>
      <c r="M1465" s="55"/>
      <c r="N1465" s="56"/>
      <c r="O1465" s="55"/>
      <c r="P1465" s="77">
        <v>307.6825</v>
      </c>
      <c r="Q1465" s="82"/>
      <c r="R1465" s="82"/>
      <c r="S1465" s="82"/>
      <c r="T1465" s="82"/>
      <c r="U1465" s="170"/>
      <c r="V1465" s="82"/>
      <c r="W1465" s="160"/>
      <c r="X1465" s="82"/>
      <c r="Y1465" s="82"/>
      <c r="Z1465" s="82"/>
      <c r="AA1465" s="82"/>
      <c r="AB1465" s="145"/>
      <c r="AC1465" s="145"/>
      <c r="AD1465" s="145"/>
      <c r="AE1465" s="145"/>
      <c r="AF1465" s="145"/>
      <c r="AG1465" s="145"/>
      <c r="AH1465" s="145"/>
      <c r="AI1465" s="145"/>
      <c r="AJ1465" s="145"/>
      <c r="AK1465" s="145"/>
      <c r="AL1465" s="145"/>
      <c r="AM1465" s="145"/>
      <c r="AN1465" s="145"/>
      <c r="AO1465" s="145"/>
      <c r="AP1465" s="145"/>
      <c r="AQ1465" s="145"/>
      <c r="AR1465" s="145"/>
      <c r="AS1465" s="145"/>
      <c r="AT1465" s="145"/>
      <c r="AU1465" s="145"/>
      <c r="AV1465" s="146"/>
      <c r="AW1465" s="146"/>
      <c r="AX1465" s="146"/>
      <c r="AY1465" s="146"/>
      <c r="AZ1465" s="145"/>
      <c r="BA1465" s="146"/>
      <c r="BB1465" s="145"/>
      <c r="BC1465" s="145"/>
      <c r="BD1465" s="145"/>
      <c r="BE1465" s="145"/>
      <c r="BF1465" s="145"/>
      <c r="BG1465" s="145"/>
      <c r="BH1465" s="145"/>
      <c r="BI1465" s="145"/>
      <c r="BJ1465" s="145"/>
      <c r="BK1465" s="145"/>
    </row>
    <row r="1466" spans="1:63" s="147" customFormat="1" ht="15" x14ac:dyDescent="0.25">
      <c r="A1466" s="52"/>
      <c r="B1466" s="53" t="s">
        <v>215</v>
      </c>
      <c r="C1466" s="104" t="s">
        <v>216</v>
      </c>
      <c r="D1466" s="104"/>
      <c r="E1466" s="104"/>
      <c r="F1466" s="104"/>
      <c r="G1466" s="104"/>
      <c r="H1466" s="54" t="s">
        <v>60</v>
      </c>
      <c r="I1466" s="58">
        <v>121</v>
      </c>
      <c r="J1466" s="55"/>
      <c r="K1466" s="58">
        <v>121</v>
      </c>
      <c r="L1466" s="56"/>
      <c r="M1466" s="55"/>
      <c r="N1466" s="56"/>
      <c r="O1466" s="55"/>
      <c r="P1466" s="77">
        <v>372.30099999999999</v>
      </c>
      <c r="Q1466" s="82"/>
      <c r="R1466" s="82"/>
      <c r="S1466" s="82"/>
      <c r="T1466" s="82"/>
      <c r="U1466" s="170"/>
      <c r="V1466" s="82"/>
      <c r="W1466" s="164"/>
      <c r="X1466" s="82"/>
      <c r="Y1466" s="82"/>
      <c r="Z1466" s="82"/>
      <c r="AA1466" s="82"/>
      <c r="AB1466" s="145"/>
      <c r="AC1466" s="145"/>
      <c r="AD1466" s="145"/>
      <c r="AE1466" s="145"/>
      <c r="AF1466" s="145"/>
      <c r="AG1466" s="145"/>
      <c r="AH1466" s="145"/>
      <c r="AI1466" s="145"/>
      <c r="AJ1466" s="145"/>
      <c r="AK1466" s="145"/>
      <c r="AL1466" s="145"/>
      <c r="AM1466" s="145"/>
      <c r="AN1466" s="145"/>
      <c r="AO1466" s="145"/>
      <c r="AP1466" s="145"/>
      <c r="AQ1466" s="145"/>
      <c r="AR1466" s="145"/>
      <c r="AS1466" s="145"/>
      <c r="AT1466" s="145"/>
      <c r="AU1466" s="145"/>
      <c r="AV1466" s="146"/>
      <c r="AW1466" s="146"/>
      <c r="AX1466" s="146"/>
      <c r="AY1466" s="146"/>
      <c r="AZ1466" s="145"/>
      <c r="BA1466" s="146"/>
      <c r="BB1466" s="145"/>
      <c r="BC1466" s="145"/>
      <c r="BD1466" s="145"/>
      <c r="BE1466" s="145"/>
      <c r="BF1466" s="145"/>
      <c r="BG1466" s="145"/>
      <c r="BH1466" s="145"/>
      <c r="BI1466" s="145"/>
      <c r="BJ1466" s="145"/>
      <c r="BK1466" s="145"/>
    </row>
    <row r="1467" spans="1:63" s="147" customFormat="1" ht="15" x14ac:dyDescent="0.25">
      <c r="A1467" s="52"/>
      <c r="B1467" s="53" t="s">
        <v>217</v>
      </c>
      <c r="C1467" s="104" t="s">
        <v>218</v>
      </c>
      <c r="D1467" s="104"/>
      <c r="E1467" s="104"/>
      <c r="F1467" s="104"/>
      <c r="G1467" s="104"/>
      <c r="H1467" s="54" t="s">
        <v>60</v>
      </c>
      <c r="I1467" s="58">
        <v>72</v>
      </c>
      <c r="J1467" s="55"/>
      <c r="K1467" s="58">
        <v>72</v>
      </c>
      <c r="L1467" s="56"/>
      <c r="M1467" s="55"/>
      <c r="N1467" s="56"/>
      <c r="O1467" s="55"/>
      <c r="P1467" s="77">
        <v>221.53599999999997</v>
      </c>
      <c r="Q1467" s="82"/>
      <c r="R1467" s="82"/>
      <c r="S1467" s="82"/>
      <c r="T1467" s="82"/>
      <c r="U1467" s="170"/>
      <c r="V1467" s="82"/>
      <c r="W1467" s="164"/>
      <c r="X1467" s="82"/>
      <c r="Y1467" s="82"/>
      <c r="Z1467" s="82"/>
      <c r="AA1467" s="82"/>
      <c r="AB1467" s="145"/>
      <c r="AC1467" s="145"/>
      <c r="AD1467" s="145"/>
      <c r="AE1467" s="145"/>
      <c r="AF1467" s="145"/>
      <c r="AG1467" s="145"/>
      <c r="AH1467" s="145"/>
      <c r="AI1467" s="145"/>
      <c r="AJ1467" s="145"/>
      <c r="AK1467" s="145"/>
      <c r="AL1467" s="145"/>
      <c r="AM1467" s="145"/>
      <c r="AN1467" s="145"/>
      <c r="AO1467" s="145"/>
      <c r="AP1467" s="145"/>
      <c r="AQ1467" s="145"/>
      <c r="AR1467" s="145"/>
      <c r="AS1467" s="145"/>
      <c r="AT1467" s="145"/>
      <c r="AU1467" s="145"/>
      <c r="AV1467" s="146"/>
      <c r="AW1467" s="146"/>
      <c r="AX1467" s="146"/>
      <c r="AY1467" s="146"/>
      <c r="AZ1467" s="145"/>
      <c r="BA1467" s="146"/>
      <c r="BB1467" s="145"/>
      <c r="BC1467" s="145"/>
      <c r="BD1467" s="145"/>
      <c r="BE1467" s="145"/>
      <c r="BF1467" s="145"/>
      <c r="BG1467" s="145"/>
      <c r="BH1467" s="145"/>
      <c r="BI1467" s="145"/>
      <c r="BJ1467" s="145"/>
      <c r="BK1467" s="145"/>
    </row>
    <row r="1468" spans="1:63" s="147" customFormat="1" ht="15" x14ac:dyDescent="0.25">
      <c r="A1468" s="59"/>
      <c r="B1468" s="98"/>
      <c r="C1468" s="102" t="s">
        <v>63</v>
      </c>
      <c r="D1468" s="102"/>
      <c r="E1468" s="102"/>
      <c r="F1468" s="102"/>
      <c r="G1468" s="102"/>
      <c r="H1468" s="41"/>
      <c r="I1468" s="42"/>
      <c r="J1468" s="42"/>
      <c r="K1468" s="42"/>
      <c r="L1468" s="45"/>
      <c r="M1468" s="42"/>
      <c r="N1468" s="49">
        <v>16327.8</v>
      </c>
      <c r="O1468" s="42"/>
      <c r="P1468" s="50">
        <v>938.84849999999994</v>
      </c>
      <c r="Q1468" s="82"/>
      <c r="R1468" s="82"/>
      <c r="S1468" s="82"/>
      <c r="T1468" s="82"/>
      <c r="U1468" s="167"/>
      <c r="V1468" s="82"/>
      <c r="W1468" s="151"/>
      <c r="X1468" s="82"/>
      <c r="Y1468" s="82"/>
      <c r="Z1468" s="82"/>
      <c r="AA1468" s="82"/>
      <c r="AB1468" s="145"/>
      <c r="AC1468" s="145"/>
      <c r="AD1468" s="145"/>
      <c r="AE1468" s="145"/>
      <c r="AF1468" s="145"/>
      <c r="AG1468" s="145"/>
      <c r="AH1468" s="145"/>
      <c r="AI1468" s="145"/>
      <c r="AJ1468" s="145"/>
      <c r="AK1468" s="145"/>
      <c r="AL1468" s="145"/>
      <c r="AM1468" s="145"/>
      <c r="AN1468" s="145"/>
      <c r="AO1468" s="145"/>
      <c r="AP1468" s="145"/>
      <c r="AQ1468" s="145"/>
      <c r="AR1468" s="145"/>
      <c r="AS1468" s="145"/>
      <c r="AT1468" s="145"/>
      <c r="AU1468" s="145"/>
      <c r="AV1468" s="146"/>
      <c r="AW1468" s="146"/>
      <c r="AX1468" s="146"/>
      <c r="AY1468" s="146"/>
      <c r="AZ1468" s="145"/>
      <c r="BA1468" s="146"/>
      <c r="BB1468" s="145"/>
      <c r="BC1468" s="145"/>
      <c r="BD1468" s="145"/>
      <c r="BE1468" s="145"/>
      <c r="BF1468" s="145"/>
      <c r="BG1468" s="145"/>
      <c r="BH1468" s="145"/>
      <c r="BI1468" s="145"/>
      <c r="BJ1468" s="145"/>
      <c r="BK1468" s="145"/>
    </row>
    <row r="1469" spans="1:63" s="147" customFormat="1" ht="15" x14ac:dyDescent="0.25">
      <c r="A1469" s="39" t="s">
        <v>888</v>
      </c>
      <c r="B1469" s="97" t="s">
        <v>268</v>
      </c>
      <c r="C1469" s="103" t="s">
        <v>269</v>
      </c>
      <c r="D1469" s="103"/>
      <c r="E1469" s="103"/>
      <c r="F1469" s="103"/>
      <c r="G1469" s="103"/>
      <c r="H1469" s="41" t="s">
        <v>244</v>
      </c>
      <c r="I1469" s="42">
        <v>5.125</v>
      </c>
      <c r="J1469" s="43">
        <v>1</v>
      </c>
      <c r="K1469" s="66">
        <v>5.125</v>
      </c>
      <c r="L1469" s="61">
        <v>45.1</v>
      </c>
      <c r="M1469" s="62">
        <v>1.01</v>
      </c>
      <c r="N1469" s="61">
        <v>45.55</v>
      </c>
      <c r="O1469" s="42"/>
      <c r="P1469" s="50">
        <v>268.45599999999996</v>
      </c>
      <c r="Q1469" s="82"/>
      <c r="R1469" s="82"/>
      <c r="S1469" s="82"/>
      <c r="T1469" s="82"/>
      <c r="U1469" s="167"/>
      <c r="V1469" s="82"/>
      <c r="W1469" s="171"/>
      <c r="X1469" s="82"/>
      <c r="Y1469" s="82"/>
      <c r="Z1469" s="82"/>
      <c r="AA1469" s="82"/>
      <c r="AB1469" s="145"/>
      <c r="AC1469" s="145"/>
      <c r="AD1469" s="145"/>
      <c r="AE1469" s="145"/>
      <c r="AF1469" s="145"/>
      <c r="AG1469" s="145"/>
      <c r="AH1469" s="145"/>
      <c r="AI1469" s="145"/>
      <c r="AJ1469" s="145"/>
      <c r="AK1469" s="145"/>
      <c r="AL1469" s="145"/>
      <c r="AM1469" s="145"/>
      <c r="AN1469" s="145"/>
      <c r="AO1469" s="145"/>
      <c r="AP1469" s="145"/>
      <c r="AQ1469" s="145"/>
      <c r="AR1469" s="145"/>
      <c r="AS1469" s="145"/>
      <c r="AT1469" s="145"/>
      <c r="AU1469" s="145"/>
      <c r="AV1469" s="146"/>
      <c r="AW1469" s="146"/>
      <c r="AX1469" s="146"/>
      <c r="AY1469" s="146"/>
      <c r="AZ1469" s="145"/>
      <c r="BA1469" s="146"/>
      <c r="BB1469" s="145"/>
      <c r="BC1469" s="145"/>
      <c r="BD1469" s="145"/>
      <c r="BE1469" s="145"/>
      <c r="BF1469" s="145"/>
      <c r="BG1469" s="145"/>
      <c r="BH1469" s="145"/>
      <c r="BI1469" s="145"/>
      <c r="BJ1469" s="145"/>
      <c r="BK1469" s="145"/>
    </row>
    <row r="1470" spans="1:63" s="147" customFormat="1" ht="15" x14ac:dyDescent="0.25">
      <c r="A1470" s="59"/>
      <c r="B1470" s="98"/>
      <c r="C1470" s="102" t="s">
        <v>63</v>
      </c>
      <c r="D1470" s="102"/>
      <c r="E1470" s="102"/>
      <c r="F1470" s="102"/>
      <c r="G1470" s="102"/>
      <c r="H1470" s="41"/>
      <c r="I1470" s="42"/>
      <c r="J1470" s="42"/>
      <c r="K1470" s="42"/>
      <c r="L1470" s="45"/>
      <c r="M1470" s="42"/>
      <c r="N1470" s="45"/>
      <c r="O1470" s="42"/>
      <c r="P1470" s="50">
        <v>268.45599999999996</v>
      </c>
      <c r="Q1470" s="82"/>
      <c r="R1470" s="82"/>
      <c r="S1470" s="82"/>
      <c r="T1470" s="82"/>
      <c r="U1470" s="167"/>
      <c r="V1470" s="82"/>
      <c r="W1470" s="151"/>
      <c r="X1470" s="82"/>
      <c r="Y1470" s="82"/>
      <c r="Z1470" s="82"/>
      <c r="AA1470" s="82"/>
      <c r="AB1470" s="145"/>
      <c r="AC1470" s="145"/>
      <c r="AD1470" s="145"/>
      <c r="AE1470" s="145"/>
      <c r="AF1470" s="145"/>
      <c r="AG1470" s="145"/>
      <c r="AH1470" s="145"/>
      <c r="AI1470" s="145"/>
      <c r="AJ1470" s="145"/>
      <c r="AK1470" s="145"/>
      <c r="AL1470" s="145"/>
      <c r="AM1470" s="145"/>
      <c r="AN1470" s="145"/>
      <c r="AO1470" s="145"/>
      <c r="AP1470" s="145"/>
      <c r="AQ1470" s="145"/>
      <c r="AR1470" s="145"/>
      <c r="AS1470" s="145"/>
      <c r="AT1470" s="145"/>
      <c r="AU1470" s="145"/>
      <c r="AV1470" s="146"/>
      <c r="AW1470" s="146"/>
      <c r="AX1470" s="146"/>
      <c r="AY1470" s="146"/>
      <c r="AZ1470" s="145"/>
      <c r="BA1470" s="146"/>
      <c r="BB1470" s="145"/>
      <c r="BC1470" s="145"/>
      <c r="BD1470" s="145"/>
      <c r="BE1470" s="145"/>
      <c r="BF1470" s="145"/>
      <c r="BG1470" s="145"/>
      <c r="BH1470" s="145"/>
      <c r="BI1470" s="145"/>
      <c r="BJ1470" s="145"/>
      <c r="BK1470" s="145"/>
    </row>
    <row r="1471" spans="1:63" s="147" customFormat="1" ht="15" x14ac:dyDescent="0.25">
      <c r="A1471" s="39" t="s">
        <v>889</v>
      </c>
      <c r="B1471" s="97" t="s">
        <v>271</v>
      </c>
      <c r="C1471" s="103" t="s">
        <v>272</v>
      </c>
      <c r="D1471" s="103"/>
      <c r="E1471" s="103"/>
      <c r="F1471" s="103"/>
      <c r="G1471" s="103"/>
      <c r="H1471" s="41" t="s">
        <v>83</v>
      </c>
      <c r="I1471" s="42">
        <v>1</v>
      </c>
      <c r="J1471" s="43">
        <v>1</v>
      </c>
      <c r="K1471" s="43">
        <v>1</v>
      </c>
      <c r="L1471" s="61">
        <v>8.2899999999999991</v>
      </c>
      <c r="M1471" s="62">
        <v>1.01</v>
      </c>
      <c r="N1471" s="61">
        <v>8.3699999999999992</v>
      </c>
      <c r="O1471" s="42"/>
      <c r="P1471" s="50">
        <v>9.6254999999999988</v>
      </c>
      <c r="Q1471" s="82"/>
      <c r="R1471" s="82"/>
      <c r="S1471" s="82"/>
      <c r="T1471" s="82"/>
      <c r="U1471" s="167"/>
      <c r="V1471" s="82"/>
      <c r="W1471" s="152"/>
      <c r="X1471" s="82"/>
      <c r="Y1471" s="82"/>
      <c r="Z1471" s="82"/>
      <c r="AA1471" s="82"/>
      <c r="AB1471" s="145"/>
      <c r="AC1471" s="145"/>
      <c r="AD1471" s="145"/>
      <c r="AE1471" s="145"/>
      <c r="AF1471" s="145"/>
      <c r="AG1471" s="145"/>
      <c r="AH1471" s="145"/>
      <c r="AI1471" s="145"/>
      <c r="AJ1471" s="145"/>
      <c r="AK1471" s="145"/>
      <c r="AL1471" s="145"/>
      <c r="AM1471" s="145"/>
      <c r="AN1471" s="145"/>
      <c r="AO1471" s="145"/>
      <c r="AP1471" s="145"/>
      <c r="AQ1471" s="145"/>
      <c r="AR1471" s="145"/>
      <c r="AS1471" s="145"/>
      <c r="AT1471" s="145"/>
      <c r="AU1471" s="145"/>
      <c r="AV1471" s="146"/>
      <c r="AW1471" s="146"/>
      <c r="AX1471" s="146"/>
      <c r="AY1471" s="146"/>
      <c r="AZ1471" s="145"/>
      <c r="BA1471" s="146"/>
      <c r="BB1471" s="145"/>
      <c r="BC1471" s="145"/>
      <c r="BD1471" s="145"/>
      <c r="BE1471" s="145"/>
      <c r="BF1471" s="145"/>
      <c r="BG1471" s="145"/>
      <c r="BH1471" s="145"/>
      <c r="BI1471" s="145"/>
      <c r="BJ1471" s="145"/>
      <c r="BK1471" s="145"/>
    </row>
    <row r="1472" spans="1:63" s="147" customFormat="1" ht="15" x14ac:dyDescent="0.25">
      <c r="A1472" s="59"/>
      <c r="B1472" s="98"/>
      <c r="C1472" s="102" t="s">
        <v>63</v>
      </c>
      <c r="D1472" s="102"/>
      <c r="E1472" s="102"/>
      <c r="F1472" s="102"/>
      <c r="G1472" s="102"/>
      <c r="H1472" s="41"/>
      <c r="I1472" s="42"/>
      <c r="J1472" s="42"/>
      <c r="K1472" s="42"/>
      <c r="L1472" s="45"/>
      <c r="M1472" s="42"/>
      <c r="N1472" s="45"/>
      <c r="O1472" s="42"/>
      <c r="P1472" s="50">
        <v>9.6254999999999988</v>
      </c>
      <c r="Q1472" s="82"/>
      <c r="R1472" s="82"/>
      <c r="S1472" s="82"/>
      <c r="T1472" s="82"/>
      <c r="U1472" s="167"/>
      <c r="V1472" s="82"/>
      <c r="W1472" s="151"/>
      <c r="X1472" s="82"/>
      <c r="Y1472" s="82"/>
      <c r="Z1472" s="82"/>
      <c r="AA1472" s="82"/>
      <c r="AB1472" s="145"/>
      <c r="AC1472" s="145"/>
      <c r="AD1472" s="145"/>
      <c r="AE1472" s="145"/>
      <c r="AF1472" s="145"/>
      <c r="AG1472" s="145"/>
      <c r="AH1472" s="145"/>
      <c r="AI1472" s="145"/>
      <c r="AJ1472" s="145"/>
      <c r="AK1472" s="145"/>
      <c r="AL1472" s="145"/>
      <c r="AM1472" s="145"/>
      <c r="AN1472" s="145"/>
      <c r="AO1472" s="145"/>
      <c r="AP1472" s="145"/>
      <c r="AQ1472" s="145"/>
      <c r="AR1472" s="145"/>
      <c r="AS1472" s="145"/>
      <c r="AT1472" s="145"/>
      <c r="AU1472" s="145"/>
      <c r="AV1472" s="146"/>
      <c r="AW1472" s="146"/>
      <c r="AX1472" s="146"/>
      <c r="AY1472" s="146"/>
      <c r="AZ1472" s="145"/>
      <c r="BA1472" s="146"/>
      <c r="BB1472" s="145"/>
      <c r="BC1472" s="145"/>
      <c r="BD1472" s="145"/>
      <c r="BE1472" s="145"/>
      <c r="BF1472" s="145"/>
      <c r="BG1472" s="145"/>
      <c r="BH1472" s="145"/>
      <c r="BI1472" s="145"/>
      <c r="BJ1472" s="145"/>
      <c r="BK1472" s="145"/>
    </row>
    <row r="1473" spans="1:63" s="147" customFormat="1" ht="15" x14ac:dyDescent="0.25">
      <c r="A1473" s="39" t="s">
        <v>890</v>
      </c>
      <c r="B1473" s="97" t="s">
        <v>274</v>
      </c>
      <c r="C1473" s="103" t="s">
        <v>275</v>
      </c>
      <c r="D1473" s="103"/>
      <c r="E1473" s="103"/>
      <c r="F1473" s="103"/>
      <c r="G1473" s="103"/>
      <c r="H1473" s="41" t="s">
        <v>83</v>
      </c>
      <c r="I1473" s="42">
        <v>2</v>
      </c>
      <c r="J1473" s="43">
        <v>1</v>
      </c>
      <c r="K1473" s="43">
        <v>2</v>
      </c>
      <c r="L1473" s="61">
        <v>6.28</v>
      </c>
      <c r="M1473" s="62">
        <v>1.01</v>
      </c>
      <c r="N1473" s="61">
        <v>6.34</v>
      </c>
      <c r="O1473" s="42"/>
      <c r="P1473" s="50">
        <v>14.581999999999999</v>
      </c>
      <c r="Q1473" s="82"/>
      <c r="R1473" s="82"/>
      <c r="S1473" s="82"/>
      <c r="T1473" s="82"/>
      <c r="U1473" s="167"/>
      <c r="V1473" s="82"/>
      <c r="W1473" s="152"/>
      <c r="X1473" s="82"/>
      <c r="Y1473" s="82"/>
      <c r="Z1473" s="82"/>
      <c r="AA1473" s="82"/>
      <c r="AB1473" s="145"/>
      <c r="AC1473" s="145"/>
      <c r="AD1473" s="145"/>
      <c r="AE1473" s="145"/>
      <c r="AF1473" s="145"/>
      <c r="AG1473" s="145"/>
      <c r="AH1473" s="145"/>
      <c r="AI1473" s="145"/>
      <c r="AJ1473" s="145"/>
      <c r="AK1473" s="145"/>
      <c r="AL1473" s="145"/>
      <c r="AM1473" s="145"/>
      <c r="AN1473" s="145"/>
      <c r="AO1473" s="145"/>
      <c r="AP1473" s="145"/>
      <c r="AQ1473" s="145"/>
      <c r="AR1473" s="145"/>
      <c r="AS1473" s="145"/>
      <c r="AT1473" s="145"/>
      <c r="AU1473" s="145"/>
      <c r="AV1473" s="146"/>
      <c r="AW1473" s="146"/>
      <c r="AX1473" s="146"/>
      <c r="AY1473" s="146"/>
      <c r="AZ1473" s="145"/>
      <c r="BA1473" s="146"/>
      <c r="BB1473" s="145"/>
      <c r="BC1473" s="145"/>
      <c r="BD1473" s="145"/>
      <c r="BE1473" s="145"/>
      <c r="BF1473" s="145"/>
      <c r="BG1473" s="145"/>
      <c r="BH1473" s="145"/>
      <c r="BI1473" s="145"/>
      <c r="BJ1473" s="145"/>
      <c r="BK1473" s="145"/>
    </row>
    <row r="1474" spans="1:63" s="147" customFormat="1" ht="15" x14ac:dyDescent="0.25">
      <c r="A1474" s="59"/>
      <c r="B1474" s="98"/>
      <c r="C1474" s="102" t="s">
        <v>63</v>
      </c>
      <c r="D1474" s="102"/>
      <c r="E1474" s="102"/>
      <c r="F1474" s="102"/>
      <c r="G1474" s="102"/>
      <c r="H1474" s="41"/>
      <c r="I1474" s="42"/>
      <c r="J1474" s="42"/>
      <c r="K1474" s="42"/>
      <c r="L1474" s="45"/>
      <c r="M1474" s="42"/>
      <c r="N1474" s="45"/>
      <c r="O1474" s="42"/>
      <c r="P1474" s="50">
        <v>14.581999999999999</v>
      </c>
      <c r="Q1474" s="82"/>
      <c r="R1474" s="82"/>
      <c r="S1474" s="82"/>
      <c r="T1474" s="82"/>
      <c r="U1474" s="167"/>
      <c r="V1474" s="82"/>
      <c r="W1474" s="151"/>
      <c r="X1474" s="82"/>
      <c r="Y1474" s="82"/>
      <c r="Z1474" s="82"/>
      <c r="AA1474" s="82"/>
      <c r="AB1474" s="145"/>
      <c r="AC1474" s="145"/>
      <c r="AD1474" s="145"/>
      <c r="AE1474" s="145"/>
      <c r="AF1474" s="145"/>
      <c r="AG1474" s="145"/>
      <c r="AH1474" s="145"/>
      <c r="AI1474" s="145"/>
      <c r="AJ1474" s="145"/>
      <c r="AK1474" s="145"/>
      <c r="AL1474" s="145"/>
      <c r="AM1474" s="145"/>
      <c r="AN1474" s="145"/>
      <c r="AO1474" s="145"/>
      <c r="AP1474" s="145"/>
      <c r="AQ1474" s="145"/>
      <c r="AR1474" s="145"/>
      <c r="AS1474" s="145"/>
      <c r="AT1474" s="145"/>
      <c r="AU1474" s="145"/>
      <c r="AV1474" s="146"/>
      <c r="AW1474" s="146"/>
      <c r="AX1474" s="146"/>
      <c r="AY1474" s="146"/>
      <c r="AZ1474" s="145"/>
      <c r="BA1474" s="146"/>
      <c r="BB1474" s="145"/>
      <c r="BC1474" s="145"/>
      <c r="BD1474" s="145"/>
      <c r="BE1474" s="145"/>
      <c r="BF1474" s="145"/>
      <c r="BG1474" s="145"/>
      <c r="BH1474" s="145"/>
      <c r="BI1474" s="145"/>
      <c r="BJ1474" s="145"/>
      <c r="BK1474" s="145"/>
    </row>
    <row r="1475" spans="1:63" s="147" customFormat="1" ht="15" x14ac:dyDescent="0.25">
      <c r="A1475" s="39" t="s">
        <v>891</v>
      </c>
      <c r="B1475" s="97" t="s">
        <v>277</v>
      </c>
      <c r="C1475" s="103" t="s">
        <v>278</v>
      </c>
      <c r="D1475" s="103"/>
      <c r="E1475" s="103"/>
      <c r="F1475" s="103"/>
      <c r="G1475" s="103"/>
      <c r="H1475" s="41" t="s">
        <v>83</v>
      </c>
      <c r="I1475" s="42">
        <v>6</v>
      </c>
      <c r="J1475" s="43">
        <v>1</v>
      </c>
      <c r="K1475" s="43">
        <v>6</v>
      </c>
      <c r="L1475" s="61">
        <v>45.79</v>
      </c>
      <c r="M1475" s="62">
        <v>1.01</v>
      </c>
      <c r="N1475" s="61">
        <v>46.25</v>
      </c>
      <c r="O1475" s="42"/>
      <c r="P1475" s="50">
        <v>319.125</v>
      </c>
      <c r="Q1475" s="82"/>
      <c r="R1475" s="82"/>
      <c r="S1475" s="82"/>
      <c r="T1475" s="82"/>
      <c r="U1475" s="167"/>
      <c r="V1475" s="82"/>
      <c r="W1475" s="152"/>
      <c r="X1475" s="82"/>
      <c r="Y1475" s="82"/>
      <c r="Z1475" s="82"/>
      <c r="AA1475" s="82"/>
      <c r="AB1475" s="145"/>
      <c r="AC1475" s="145"/>
      <c r="AD1475" s="145"/>
      <c r="AE1475" s="145"/>
      <c r="AF1475" s="145"/>
      <c r="AG1475" s="145"/>
      <c r="AH1475" s="145"/>
      <c r="AI1475" s="145"/>
      <c r="AJ1475" s="145"/>
      <c r="AK1475" s="145"/>
      <c r="AL1475" s="145"/>
      <c r="AM1475" s="145"/>
      <c r="AN1475" s="145"/>
      <c r="AO1475" s="145"/>
      <c r="AP1475" s="145"/>
      <c r="AQ1475" s="145"/>
      <c r="AR1475" s="145"/>
      <c r="AS1475" s="145"/>
      <c r="AT1475" s="145"/>
      <c r="AU1475" s="145"/>
      <c r="AV1475" s="146"/>
      <c r="AW1475" s="146"/>
      <c r="AX1475" s="146"/>
      <c r="AY1475" s="146"/>
      <c r="AZ1475" s="145"/>
      <c r="BA1475" s="146"/>
      <c r="BB1475" s="145"/>
      <c r="BC1475" s="145"/>
      <c r="BD1475" s="145"/>
      <c r="BE1475" s="145"/>
      <c r="BF1475" s="145"/>
      <c r="BG1475" s="145"/>
      <c r="BH1475" s="145"/>
      <c r="BI1475" s="145"/>
      <c r="BJ1475" s="145"/>
      <c r="BK1475" s="145"/>
    </row>
    <row r="1476" spans="1:63" s="147" customFormat="1" ht="15" x14ac:dyDescent="0.25">
      <c r="A1476" s="59"/>
      <c r="B1476" s="98"/>
      <c r="C1476" s="102" t="s">
        <v>63</v>
      </c>
      <c r="D1476" s="102"/>
      <c r="E1476" s="102"/>
      <c r="F1476" s="102"/>
      <c r="G1476" s="102"/>
      <c r="H1476" s="41"/>
      <c r="I1476" s="42"/>
      <c r="J1476" s="42"/>
      <c r="K1476" s="42"/>
      <c r="L1476" s="45"/>
      <c r="M1476" s="42"/>
      <c r="N1476" s="45"/>
      <c r="O1476" s="42"/>
      <c r="P1476" s="50">
        <v>319.125</v>
      </c>
      <c r="Q1476" s="82"/>
      <c r="R1476" s="82"/>
      <c r="S1476" s="82"/>
      <c r="T1476" s="82"/>
      <c r="U1476" s="167"/>
      <c r="V1476" s="82"/>
      <c r="W1476" s="151"/>
      <c r="X1476" s="82"/>
      <c r="Y1476" s="82"/>
      <c r="Z1476" s="82"/>
      <c r="AA1476" s="82"/>
      <c r="AB1476" s="145"/>
      <c r="AC1476" s="145"/>
      <c r="AD1476" s="145"/>
      <c r="AE1476" s="145"/>
      <c r="AF1476" s="145"/>
      <c r="AG1476" s="145"/>
      <c r="AH1476" s="145"/>
      <c r="AI1476" s="145"/>
      <c r="AJ1476" s="145"/>
      <c r="AK1476" s="145"/>
      <c r="AL1476" s="145"/>
      <c r="AM1476" s="145"/>
      <c r="AN1476" s="145"/>
      <c r="AO1476" s="145"/>
      <c r="AP1476" s="145"/>
      <c r="AQ1476" s="145"/>
      <c r="AR1476" s="145"/>
      <c r="AS1476" s="145"/>
      <c r="AT1476" s="145"/>
      <c r="AU1476" s="145"/>
      <c r="AV1476" s="146"/>
      <c r="AW1476" s="146"/>
      <c r="AX1476" s="146"/>
      <c r="AY1476" s="146"/>
      <c r="AZ1476" s="145"/>
      <c r="BA1476" s="146"/>
      <c r="BB1476" s="145"/>
      <c r="BC1476" s="145"/>
      <c r="BD1476" s="145"/>
      <c r="BE1476" s="145"/>
      <c r="BF1476" s="145"/>
      <c r="BG1476" s="145"/>
      <c r="BH1476" s="145"/>
      <c r="BI1476" s="145"/>
      <c r="BJ1476" s="145"/>
      <c r="BK1476" s="145"/>
    </row>
    <row r="1477" spans="1:63" s="147" customFormat="1" ht="15" x14ac:dyDescent="0.25">
      <c r="A1477" s="39" t="s">
        <v>892</v>
      </c>
      <c r="B1477" s="97" t="s">
        <v>280</v>
      </c>
      <c r="C1477" s="103" t="s">
        <v>281</v>
      </c>
      <c r="D1477" s="103"/>
      <c r="E1477" s="103"/>
      <c r="F1477" s="103"/>
      <c r="G1477" s="103"/>
      <c r="H1477" s="41" t="s">
        <v>75</v>
      </c>
      <c r="I1477" s="42">
        <v>0.03</v>
      </c>
      <c r="J1477" s="43">
        <v>1</v>
      </c>
      <c r="K1477" s="62">
        <v>0.03</v>
      </c>
      <c r="L1477" s="45"/>
      <c r="M1477" s="42"/>
      <c r="N1477" s="45"/>
      <c r="O1477" s="42"/>
      <c r="P1477" s="50"/>
      <c r="Q1477" s="82"/>
      <c r="R1477" s="82"/>
      <c r="S1477" s="82"/>
      <c r="T1477" s="82"/>
      <c r="U1477" s="153"/>
      <c r="V1477" s="82"/>
      <c r="W1477" s="168"/>
      <c r="X1477" s="82"/>
      <c r="Y1477" s="82"/>
      <c r="Z1477" s="82"/>
      <c r="AA1477" s="82"/>
      <c r="AB1477" s="145"/>
      <c r="AC1477" s="145"/>
      <c r="AD1477" s="145"/>
      <c r="AE1477" s="145"/>
      <c r="AF1477" s="145"/>
      <c r="AG1477" s="145"/>
      <c r="AH1477" s="145"/>
      <c r="AI1477" s="145"/>
      <c r="AJ1477" s="145"/>
      <c r="AK1477" s="145"/>
      <c r="AL1477" s="145"/>
      <c r="AM1477" s="145"/>
      <c r="AN1477" s="145"/>
      <c r="AO1477" s="145"/>
      <c r="AP1477" s="145"/>
      <c r="AQ1477" s="145"/>
      <c r="AR1477" s="145"/>
      <c r="AS1477" s="145"/>
      <c r="AT1477" s="145"/>
      <c r="AU1477" s="145"/>
      <c r="AV1477" s="146"/>
      <c r="AW1477" s="146"/>
      <c r="AX1477" s="146"/>
      <c r="AY1477" s="146"/>
      <c r="AZ1477" s="145"/>
      <c r="BA1477" s="146"/>
      <c r="BB1477" s="145"/>
      <c r="BC1477" s="145"/>
      <c r="BD1477" s="145"/>
      <c r="BE1477" s="145"/>
      <c r="BF1477" s="145"/>
      <c r="BG1477" s="145"/>
      <c r="BH1477" s="145"/>
      <c r="BI1477" s="145"/>
      <c r="BJ1477" s="145"/>
      <c r="BK1477" s="145"/>
    </row>
    <row r="1478" spans="1:63" s="147" customFormat="1" ht="15" x14ac:dyDescent="0.25">
      <c r="A1478" s="47"/>
      <c r="B1478" s="48"/>
      <c r="C1478" s="102" t="s">
        <v>56</v>
      </c>
      <c r="D1478" s="102"/>
      <c r="E1478" s="102"/>
      <c r="F1478" s="102"/>
      <c r="G1478" s="102"/>
      <c r="H1478" s="41"/>
      <c r="I1478" s="42"/>
      <c r="J1478" s="42"/>
      <c r="K1478" s="42"/>
      <c r="L1478" s="45"/>
      <c r="M1478" s="42"/>
      <c r="N1478" s="49"/>
      <c r="O1478" s="42"/>
      <c r="P1478" s="50">
        <v>2405.2824999999998</v>
      </c>
      <c r="Q1478" s="157"/>
      <c r="R1478" s="157"/>
      <c r="S1478" s="82"/>
      <c r="T1478" s="82"/>
      <c r="U1478" s="156"/>
      <c r="V1478" s="82"/>
      <c r="W1478" s="151"/>
      <c r="X1478" s="82"/>
      <c r="Y1478" s="82"/>
      <c r="Z1478" s="82"/>
      <c r="AA1478" s="82"/>
      <c r="AB1478" s="145"/>
      <c r="AC1478" s="145"/>
      <c r="AD1478" s="145"/>
      <c r="AE1478" s="145"/>
      <c r="AF1478" s="145"/>
      <c r="AG1478" s="145"/>
      <c r="AH1478" s="145"/>
      <c r="AI1478" s="145"/>
      <c r="AJ1478" s="145"/>
      <c r="AK1478" s="145"/>
      <c r="AL1478" s="145"/>
      <c r="AM1478" s="145"/>
      <c r="AN1478" s="145"/>
      <c r="AO1478" s="145"/>
      <c r="AP1478" s="145"/>
      <c r="AQ1478" s="145"/>
      <c r="AR1478" s="145"/>
      <c r="AS1478" s="145"/>
      <c r="AT1478" s="145"/>
      <c r="AU1478" s="145"/>
      <c r="AV1478" s="146"/>
      <c r="AW1478" s="146"/>
      <c r="AX1478" s="146"/>
      <c r="AY1478" s="146"/>
      <c r="AZ1478" s="145"/>
      <c r="BA1478" s="146"/>
      <c r="BB1478" s="145"/>
      <c r="BC1478" s="145"/>
      <c r="BD1478" s="145"/>
      <c r="BE1478" s="145"/>
      <c r="BF1478" s="145"/>
      <c r="BG1478" s="145"/>
      <c r="BH1478" s="145"/>
      <c r="BI1478" s="145"/>
      <c r="BJ1478" s="145"/>
      <c r="BK1478" s="145"/>
    </row>
    <row r="1479" spans="1:63" s="147" customFormat="1" ht="15" x14ac:dyDescent="0.25">
      <c r="A1479" s="52"/>
      <c r="B1479" s="53"/>
      <c r="C1479" s="104" t="s">
        <v>57</v>
      </c>
      <c r="D1479" s="104"/>
      <c r="E1479" s="104"/>
      <c r="F1479" s="104"/>
      <c r="G1479" s="104"/>
      <c r="H1479" s="54"/>
      <c r="I1479" s="55"/>
      <c r="J1479" s="55"/>
      <c r="K1479" s="55"/>
      <c r="L1479" s="56"/>
      <c r="M1479" s="55"/>
      <c r="N1479" s="56"/>
      <c r="O1479" s="55"/>
      <c r="P1479" s="77">
        <v>1917.7860000000001</v>
      </c>
      <c r="Q1479" s="82"/>
      <c r="R1479" s="82"/>
      <c r="S1479" s="82"/>
      <c r="T1479" s="82"/>
      <c r="U1479" s="163"/>
      <c r="V1479" s="82"/>
      <c r="W1479" s="160"/>
      <c r="X1479" s="82"/>
      <c r="Y1479" s="82"/>
      <c r="Z1479" s="82"/>
      <c r="AA1479" s="82"/>
      <c r="AB1479" s="145"/>
      <c r="AC1479" s="145"/>
      <c r="AD1479" s="145"/>
      <c r="AE1479" s="145"/>
      <c r="AF1479" s="145"/>
      <c r="AG1479" s="145"/>
      <c r="AH1479" s="145"/>
      <c r="AI1479" s="145"/>
      <c r="AJ1479" s="145"/>
      <c r="AK1479" s="145"/>
      <c r="AL1479" s="145"/>
      <c r="AM1479" s="145"/>
      <c r="AN1479" s="145"/>
      <c r="AO1479" s="145"/>
      <c r="AP1479" s="145"/>
      <c r="AQ1479" s="145"/>
      <c r="AR1479" s="145"/>
      <c r="AS1479" s="145"/>
      <c r="AT1479" s="145"/>
      <c r="AU1479" s="145"/>
      <c r="AV1479" s="146"/>
      <c r="AW1479" s="146"/>
      <c r="AX1479" s="146"/>
      <c r="AY1479" s="146"/>
      <c r="AZ1479" s="145"/>
      <c r="BA1479" s="146"/>
      <c r="BB1479" s="145"/>
      <c r="BC1479" s="145"/>
      <c r="BD1479" s="145"/>
      <c r="BE1479" s="145"/>
      <c r="BF1479" s="145"/>
      <c r="BG1479" s="145"/>
      <c r="BH1479" s="145"/>
      <c r="BI1479" s="145"/>
      <c r="BJ1479" s="145"/>
      <c r="BK1479" s="145"/>
    </row>
    <row r="1480" spans="1:63" s="147" customFormat="1" ht="15" x14ac:dyDescent="0.25">
      <c r="A1480" s="52"/>
      <c r="B1480" s="53" t="s">
        <v>225</v>
      </c>
      <c r="C1480" s="104" t="s">
        <v>226</v>
      </c>
      <c r="D1480" s="104"/>
      <c r="E1480" s="104"/>
      <c r="F1480" s="104"/>
      <c r="G1480" s="104"/>
      <c r="H1480" s="54" t="s">
        <v>60</v>
      </c>
      <c r="I1480" s="58">
        <v>103</v>
      </c>
      <c r="J1480" s="55"/>
      <c r="K1480" s="58">
        <v>103</v>
      </c>
      <c r="L1480" s="56"/>
      <c r="M1480" s="55"/>
      <c r="N1480" s="56"/>
      <c r="O1480" s="55"/>
      <c r="P1480" s="77">
        <v>1975.3205</v>
      </c>
      <c r="Q1480" s="82"/>
      <c r="R1480" s="82"/>
      <c r="S1480" s="82"/>
      <c r="T1480" s="82"/>
      <c r="U1480" s="163"/>
      <c r="V1480" s="82"/>
      <c r="W1480" s="164"/>
      <c r="X1480" s="82"/>
      <c r="Y1480" s="82"/>
      <c r="Z1480" s="82"/>
      <c r="AA1480" s="82"/>
      <c r="AB1480" s="145"/>
      <c r="AC1480" s="145"/>
      <c r="AD1480" s="145"/>
      <c r="AE1480" s="145"/>
      <c r="AF1480" s="145"/>
      <c r="AG1480" s="145"/>
      <c r="AH1480" s="145"/>
      <c r="AI1480" s="145"/>
      <c r="AJ1480" s="145"/>
      <c r="AK1480" s="145"/>
      <c r="AL1480" s="145"/>
      <c r="AM1480" s="145"/>
      <c r="AN1480" s="145"/>
      <c r="AO1480" s="145"/>
      <c r="AP1480" s="145"/>
      <c r="AQ1480" s="145"/>
      <c r="AR1480" s="145"/>
      <c r="AS1480" s="145"/>
      <c r="AT1480" s="145"/>
      <c r="AU1480" s="145"/>
      <c r="AV1480" s="146"/>
      <c r="AW1480" s="146"/>
      <c r="AX1480" s="146"/>
      <c r="AY1480" s="146"/>
      <c r="AZ1480" s="145"/>
      <c r="BA1480" s="146"/>
      <c r="BB1480" s="145"/>
      <c r="BC1480" s="145"/>
      <c r="BD1480" s="145"/>
      <c r="BE1480" s="145"/>
      <c r="BF1480" s="145"/>
      <c r="BG1480" s="145"/>
      <c r="BH1480" s="145"/>
      <c r="BI1480" s="145"/>
      <c r="BJ1480" s="145"/>
      <c r="BK1480" s="145"/>
    </row>
    <row r="1481" spans="1:63" s="147" customFormat="1" ht="15" x14ac:dyDescent="0.25">
      <c r="A1481" s="52"/>
      <c r="B1481" s="53" t="s">
        <v>227</v>
      </c>
      <c r="C1481" s="104" t="s">
        <v>228</v>
      </c>
      <c r="D1481" s="104"/>
      <c r="E1481" s="104"/>
      <c r="F1481" s="104"/>
      <c r="G1481" s="104"/>
      <c r="H1481" s="54" t="s">
        <v>60</v>
      </c>
      <c r="I1481" s="58">
        <v>52</v>
      </c>
      <c r="J1481" s="55"/>
      <c r="K1481" s="58">
        <v>52</v>
      </c>
      <c r="L1481" s="56"/>
      <c r="M1481" s="55"/>
      <c r="N1481" s="56"/>
      <c r="O1481" s="55"/>
      <c r="P1481" s="77">
        <v>997.24549999999988</v>
      </c>
      <c r="Q1481" s="82"/>
      <c r="R1481" s="82"/>
      <c r="S1481" s="82"/>
      <c r="T1481" s="82"/>
      <c r="U1481" s="170"/>
      <c r="V1481" s="82"/>
      <c r="W1481" s="164"/>
      <c r="X1481" s="82"/>
      <c r="Y1481" s="82"/>
      <c r="Z1481" s="82"/>
      <c r="AA1481" s="82"/>
      <c r="AB1481" s="145"/>
      <c r="AC1481" s="145"/>
      <c r="AD1481" s="145"/>
      <c r="AE1481" s="145"/>
      <c r="AF1481" s="145"/>
      <c r="AG1481" s="145"/>
      <c r="AH1481" s="145"/>
      <c r="AI1481" s="145"/>
      <c r="AJ1481" s="145"/>
      <c r="AK1481" s="145"/>
      <c r="AL1481" s="145"/>
      <c r="AM1481" s="145"/>
      <c r="AN1481" s="145"/>
      <c r="AO1481" s="145"/>
      <c r="AP1481" s="145"/>
      <c r="AQ1481" s="145"/>
      <c r="AR1481" s="145"/>
      <c r="AS1481" s="145"/>
      <c r="AT1481" s="145"/>
      <c r="AU1481" s="145"/>
      <c r="AV1481" s="146"/>
      <c r="AW1481" s="146"/>
      <c r="AX1481" s="146"/>
      <c r="AY1481" s="146"/>
      <c r="AZ1481" s="145"/>
      <c r="BA1481" s="146"/>
      <c r="BB1481" s="145"/>
      <c r="BC1481" s="145"/>
      <c r="BD1481" s="145"/>
      <c r="BE1481" s="145"/>
      <c r="BF1481" s="145"/>
      <c r="BG1481" s="145"/>
      <c r="BH1481" s="145"/>
      <c r="BI1481" s="145"/>
      <c r="BJ1481" s="145"/>
      <c r="BK1481" s="145"/>
    </row>
    <row r="1482" spans="1:63" s="147" customFormat="1" ht="15" x14ac:dyDescent="0.25">
      <c r="A1482" s="59"/>
      <c r="B1482" s="98"/>
      <c r="C1482" s="102" t="s">
        <v>63</v>
      </c>
      <c r="D1482" s="102"/>
      <c r="E1482" s="102"/>
      <c r="F1482" s="102"/>
      <c r="G1482" s="102"/>
      <c r="H1482" s="41"/>
      <c r="I1482" s="42"/>
      <c r="J1482" s="42"/>
      <c r="K1482" s="42"/>
      <c r="L1482" s="45"/>
      <c r="M1482" s="42"/>
      <c r="N1482" s="49">
        <v>233819.5</v>
      </c>
      <c r="O1482" s="42"/>
      <c r="P1482" s="50">
        <v>8066.7727500000001</v>
      </c>
      <c r="Q1482" s="82"/>
      <c r="R1482" s="82"/>
      <c r="S1482" s="82"/>
      <c r="T1482" s="82"/>
      <c r="U1482" s="156"/>
      <c r="V1482" s="82"/>
      <c r="W1482" s="151"/>
      <c r="X1482" s="82"/>
      <c r="Y1482" s="82"/>
      <c r="Z1482" s="82"/>
      <c r="AA1482" s="82"/>
      <c r="AB1482" s="145"/>
      <c r="AC1482" s="145"/>
      <c r="AD1482" s="145"/>
      <c r="AE1482" s="145"/>
      <c r="AF1482" s="145"/>
      <c r="AG1482" s="145"/>
      <c r="AH1482" s="145"/>
      <c r="AI1482" s="145"/>
      <c r="AJ1482" s="145"/>
      <c r="AK1482" s="145"/>
      <c r="AL1482" s="145"/>
      <c r="AM1482" s="145"/>
      <c r="AN1482" s="145"/>
      <c r="AO1482" s="145"/>
      <c r="AP1482" s="145"/>
      <c r="AQ1482" s="145"/>
      <c r="AR1482" s="145"/>
      <c r="AS1482" s="145"/>
      <c r="AT1482" s="145"/>
      <c r="AU1482" s="145"/>
      <c r="AV1482" s="146"/>
      <c r="AW1482" s="146"/>
      <c r="AX1482" s="146"/>
      <c r="AY1482" s="146"/>
      <c r="AZ1482" s="145"/>
      <c r="BA1482" s="146"/>
      <c r="BB1482" s="145"/>
      <c r="BC1482" s="145"/>
      <c r="BD1482" s="145"/>
      <c r="BE1482" s="145"/>
      <c r="BF1482" s="145"/>
      <c r="BG1482" s="145"/>
      <c r="BH1482" s="145"/>
      <c r="BI1482" s="145"/>
      <c r="BJ1482" s="145"/>
      <c r="BK1482" s="145"/>
    </row>
    <row r="1483" spans="1:63" s="147" customFormat="1" ht="24.75" customHeight="1" x14ac:dyDescent="0.25">
      <c r="A1483" s="39" t="s">
        <v>893</v>
      </c>
      <c r="B1483" s="97" t="s">
        <v>283</v>
      </c>
      <c r="C1483" s="103" t="s">
        <v>284</v>
      </c>
      <c r="D1483" s="103"/>
      <c r="E1483" s="103"/>
      <c r="F1483" s="103"/>
      <c r="G1483" s="103"/>
      <c r="H1483" s="41" t="s">
        <v>222</v>
      </c>
      <c r="I1483" s="42">
        <v>3</v>
      </c>
      <c r="J1483" s="43">
        <v>1</v>
      </c>
      <c r="K1483" s="43">
        <v>3</v>
      </c>
      <c r="L1483" s="49">
        <v>1181.19</v>
      </c>
      <c r="M1483" s="62">
        <v>1.46</v>
      </c>
      <c r="N1483" s="49">
        <v>1724.54</v>
      </c>
      <c r="O1483" s="42"/>
      <c r="P1483" s="50">
        <v>5949.6629999999996</v>
      </c>
      <c r="Q1483" s="82"/>
      <c r="R1483" s="82"/>
      <c r="S1483" s="82"/>
      <c r="T1483" s="82"/>
      <c r="U1483" s="156"/>
      <c r="V1483" s="82"/>
      <c r="W1483" s="152"/>
      <c r="X1483" s="82"/>
      <c r="Y1483" s="82"/>
      <c r="Z1483" s="82"/>
      <c r="AA1483" s="82"/>
      <c r="AB1483" s="145"/>
      <c r="AC1483" s="145"/>
      <c r="AD1483" s="145"/>
      <c r="AE1483" s="145"/>
      <c r="AF1483" s="145"/>
      <c r="AG1483" s="145"/>
      <c r="AH1483" s="145"/>
      <c r="AI1483" s="145"/>
      <c r="AJ1483" s="145"/>
      <c r="AK1483" s="145"/>
      <c r="AL1483" s="145"/>
      <c r="AM1483" s="145"/>
      <c r="AN1483" s="145"/>
      <c r="AO1483" s="145"/>
      <c r="AP1483" s="145"/>
      <c r="AQ1483" s="145"/>
      <c r="AR1483" s="145"/>
      <c r="AS1483" s="145"/>
      <c r="AT1483" s="145"/>
      <c r="AU1483" s="145"/>
      <c r="AV1483" s="146"/>
      <c r="AW1483" s="146"/>
      <c r="AX1483" s="146"/>
      <c r="AY1483" s="146"/>
      <c r="AZ1483" s="145"/>
      <c r="BA1483" s="146"/>
      <c r="BB1483" s="145"/>
      <c r="BC1483" s="145"/>
      <c r="BD1483" s="145"/>
      <c r="BE1483" s="145"/>
      <c r="BF1483" s="145"/>
      <c r="BG1483" s="145"/>
      <c r="BH1483" s="145"/>
      <c r="BI1483" s="145"/>
      <c r="BJ1483" s="145"/>
      <c r="BK1483" s="145"/>
    </row>
    <row r="1484" spans="1:63" s="147" customFormat="1" ht="15" x14ac:dyDescent="0.25">
      <c r="A1484" s="59"/>
      <c r="B1484" s="98"/>
      <c r="C1484" s="102" t="s">
        <v>63</v>
      </c>
      <c r="D1484" s="102"/>
      <c r="E1484" s="102"/>
      <c r="F1484" s="102"/>
      <c r="G1484" s="102"/>
      <c r="H1484" s="41"/>
      <c r="I1484" s="42"/>
      <c r="J1484" s="42"/>
      <c r="K1484" s="42"/>
      <c r="L1484" s="45"/>
      <c r="M1484" s="42"/>
      <c r="N1484" s="45"/>
      <c r="O1484" s="42"/>
      <c r="P1484" s="50">
        <v>5949.6629999999996</v>
      </c>
      <c r="Q1484" s="82"/>
      <c r="R1484" s="82"/>
      <c r="S1484" s="82"/>
      <c r="T1484" s="82"/>
      <c r="U1484" s="156"/>
      <c r="V1484" s="82"/>
      <c r="W1484" s="82"/>
      <c r="X1484" s="82"/>
      <c r="Y1484" s="82"/>
      <c r="Z1484" s="82"/>
      <c r="AA1484" s="82"/>
      <c r="AB1484" s="145"/>
      <c r="AC1484" s="145"/>
      <c r="AD1484" s="145"/>
      <c r="AE1484" s="145"/>
      <c r="AF1484" s="145"/>
      <c r="AG1484" s="145"/>
      <c r="AH1484" s="145"/>
      <c r="AI1484" s="145"/>
      <c r="AJ1484" s="145"/>
      <c r="AK1484" s="145"/>
      <c r="AL1484" s="145"/>
      <c r="AM1484" s="145"/>
      <c r="AN1484" s="145"/>
      <c r="AO1484" s="145"/>
      <c r="AP1484" s="145"/>
      <c r="AQ1484" s="145"/>
      <c r="AR1484" s="145"/>
      <c r="AS1484" s="145"/>
      <c r="AT1484" s="145"/>
      <c r="AU1484" s="145"/>
      <c r="AV1484" s="146"/>
      <c r="AW1484" s="146"/>
      <c r="AX1484" s="146"/>
      <c r="AY1484" s="146"/>
      <c r="AZ1484" s="145"/>
      <c r="BA1484" s="146"/>
      <c r="BB1484" s="145"/>
      <c r="BC1484" s="145"/>
      <c r="BD1484" s="145"/>
      <c r="BE1484" s="145"/>
      <c r="BF1484" s="145"/>
      <c r="BG1484" s="145"/>
      <c r="BH1484" s="145"/>
      <c r="BI1484" s="145"/>
      <c r="BJ1484" s="145"/>
      <c r="BK1484" s="145"/>
    </row>
    <row r="1485" spans="1:63" s="147" customFormat="1" ht="15" hidden="1" customHeight="1" x14ac:dyDescent="0.25">
      <c r="A1485" s="39" t="s">
        <v>285</v>
      </c>
      <c r="B1485" s="97" t="s">
        <v>317</v>
      </c>
      <c r="C1485" s="105" t="s">
        <v>318</v>
      </c>
      <c r="D1485" s="105"/>
      <c r="E1485" s="105"/>
      <c r="F1485" s="105"/>
      <c r="G1485" s="105"/>
      <c r="H1485" s="41" t="s">
        <v>83</v>
      </c>
      <c r="I1485" s="42">
        <v>3</v>
      </c>
      <c r="J1485" s="43">
        <v>1</v>
      </c>
      <c r="K1485" s="43">
        <v>3</v>
      </c>
      <c r="L1485" s="49">
        <v>2001.31</v>
      </c>
      <c r="M1485" s="62">
        <v>1.46</v>
      </c>
      <c r="N1485" s="49">
        <v>2921.91</v>
      </c>
      <c r="O1485" s="42"/>
      <c r="P1485" s="50">
        <v>0</v>
      </c>
      <c r="Q1485" s="82"/>
      <c r="R1485" s="82"/>
      <c r="S1485" s="82"/>
      <c r="T1485" s="82"/>
      <c r="U1485" s="156"/>
      <c r="V1485" s="82"/>
      <c r="W1485" s="152"/>
      <c r="X1485" s="82"/>
      <c r="Y1485" s="82"/>
      <c r="Z1485" s="82"/>
      <c r="AA1485" s="82"/>
      <c r="AB1485" s="145"/>
      <c r="AC1485" s="145"/>
      <c r="AD1485" s="145"/>
      <c r="AE1485" s="145"/>
      <c r="AF1485" s="145"/>
      <c r="AG1485" s="145"/>
      <c r="AH1485" s="145"/>
      <c r="AI1485" s="145"/>
      <c r="AJ1485" s="145"/>
      <c r="AK1485" s="145"/>
      <c r="AL1485" s="145"/>
      <c r="AM1485" s="145"/>
      <c r="AN1485" s="145"/>
      <c r="AO1485" s="145"/>
      <c r="AP1485" s="145"/>
      <c r="AQ1485" s="145"/>
      <c r="AR1485" s="145"/>
      <c r="AS1485" s="145"/>
      <c r="AT1485" s="145"/>
      <c r="AU1485" s="145"/>
      <c r="AV1485" s="146"/>
      <c r="AW1485" s="146"/>
      <c r="AX1485" s="146"/>
      <c r="AY1485" s="146"/>
      <c r="AZ1485" s="145"/>
      <c r="BA1485" s="146"/>
      <c r="BB1485" s="145"/>
      <c r="BC1485" s="145"/>
      <c r="BD1485" s="145"/>
      <c r="BE1485" s="145"/>
      <c r="BF1485" s="145"/>
      <c r="BG1485" s="145"/>
      <c r="BH1485" s="145"/>
      <c r="BI1485" s="145"/>
      <c r="BJ1485" s="145"/>
      <c r="BK1485" s="145"/>
    </row>
    <row r="1486" spans="1:63" s="147" customFormat="1" ht="15" hidden="1" customHeight="1" x14ac:dyDescent="0.25">
      <c r="A1486" s="59"/>
      <c r="B1486" s="98"/>
      <c r="C1486" s="106" t="s">
        <v>63</v>
      </c>
      <c r="D1486" s="106"/>
      <c r="E1486" s="106"/>
      <c r="F1486" s="106"/>
      <c r="G1486" s="106"/>
      <c r="H1486" s="41"/>
      <c r="I1486" s="42"/>
      <c r="J1486" s="42"/>
      <c r="K1486" s="42"/>
      <c r="L1486" s="45"/>
      <c r="M1486" s="42"/>
      <c r="N1486" s="45"/>
      <c r="O1486" s="42"/>
      <c r="P1486" s="50">
        <v>0</v>
      </c>
      <c r="Q1486" s="82"/>
      <c r="R1486" s="82"/>
      <c r="S1486" s="82"/>
      <c r="T1486" s="82"/>
      <c r="U1486" s="156"/>
      <c r="V1486" s="82"/>
      <c r="W1486" s="151"/>
      <c r="X1486" s="82"/>
      <c r="Y1486" s="82"/>
      <c r="Z1486" s="82"/>
      <c r="AA1486" s="82"/>
      <c r="AB1486" s="145"/>
      <c r="AC1486" s="145"/>
      <c r="AD1486" s="145"/>
      <c r="AE1486" s="145"/>
      <c r="AF1486" s="145"/>
      <c r="AG1486" s="145"/>
      <c r="AH1486" s="145"/>
      <c r="AI1486" s="145"/>
      <c r="AJ1486" s="145"/>
      <c r="AK1486" s="145"/>
      <c r="AL1486" s="145"/>
      <c r="AM1486" s="145"/>
      <c r="AN1486" s="145"/>
      <c r="AO1486" s="145"/>
      <c r="AP1486" s="145"/>
      <c r="AQ1486" s="145"/>
      <c r="AR1486" s="145"/>
      <c r="AS1486" s="145"/>
      <c r="AT1486" s="145"/>
      <c r="AU1486" s="145"/>
      <c r="AV1486" s="146"/>
      <c r="AW1486" s="146"/>
      <c r="AX1486" s="146"/>
      <c r="AY1486" s="146"/>
      <c r="AZ1486" s="145"/>
      <c r="BA1486" s="146"/>
      <c r="BB1486" s="145"/>
      <c r="BC1486" s="145"/>
      <c r="BD1486" s="145"/>
      <c r="BE1486" s="145"/>
      <c r="BF1486" s="145"/>
      <c r="BG1486" s="145"/>
      <c r="BH1486" s="145"/>
      <c r="BI1486" s="145"/>
      <c r="BJ1486" s="145"/>
      <c r="BK1486" s="145"/>
    </row>
    <row r="1487" spans="1:63" s="147" customFormat="1" ht="36.75" customHeight="1" x14ac:dyDescent="0.25">
      <c r="A1487" s="39" t="s">
        <v>894</v>
      </c>
      <c r="B1487" s="97" t="s">
        <v>287</v>
      </c>
      <c r="C1487" s="103" t="s">
        <v>288</v>
      </c>
      <c r="D1487" s="103"/>
      <c r="E1487" s="103"/>
      <c r="F1487" s="103"/>
      <c r="G1487" s="103"/>
      <c r="H1487" s="41" t="s">
        <v>222</v>
      </c>
      <c r="I1487" s="42">
        <v>3</v>
      </c>
      <c r="J1487" s="43">
        <v>1</v>
      </c>
      <c r="K1487" s="43">
        <v>3</v>
      </c>
      <c r="L1487" s="49">
        <v>1164.77</v>
      </c>
      <c r="M1487" s="62">
        <v>1.1299999999999999</v>
      </c>
      <c r="N1487" s="49">
        <v>1316.19</v>
      </c>
      <c r="O1487" s="42"/>
      <c r="P1487" s="50">
        <v>4540.8554999999997</v>
      </c>
      <c r="Q1487" s="82"/>
      <c r="R1487" s="82"/>
      <c r="S1487" s="82"/>
      <c r="T1487" s="82"/>
      <c r="U1487" s="156"/>
      <c r="V1487" s="82"/>
      <c r="W1487" s="152"/>
      <c r="X1487" s="82"/>
      <c r="Y1487" s="82"/>
      <c r="Z1487" s="82"/>
      <c r="AA1487" s="82"/>
      <c r="AB1487" s="145"/>
      <c r="AC1487" s="145"/>
      <c r="AD1487" s="145"/>
      <c r="AE1487" s="145"/>
      <c r="AF1487" s="145"/>
      <c r="AG1487" s="145"/>
      <c r="AH1487" s="145"/>
      <c r="AI1487" s="145"/>
      <c r="AJ1487" s="145"/>
      <c r="AK1487" s="145"/>
      <c r="AL1487" s="145"/>
      <c r="AM1487" s="145"/>
      <c r="AN1487" s="145"/>
      <c r="AO1487" s="145"/>
      <c r="AP1487" s="145"/>
      <c r="AQ1487" s="145"/>
      <c r="AR1487" s="145"/>
      <c r="AS1487" s="145"/>
      <c r="AT1487" s="145"/>
      <c r="AU1487" s="145"/>
      <c r="AV1487" s="146"/>
      <c r="AW1487" s="146"/>
      <c r="AX1487" s="146"/>
      <c r="AY1487" s="146"/>
      <c r="AZ1487" s="145"/>
      <c r="BA1487" s="146"/>
      <c r="BB1487" s="145"/>
      <c r="BC1487" s="145"/>
      <c r="BD1487" s="145"/>
      <c r="BE1487" s="145"/>
      <c r="BF1487" s="145"/>
      <c r="BG1487" s="145"/>
      <c r="BH1487" s="145"/>
      <c r="BI1487" s="145"/>
      <c r="BJ1487" s="145"/>
      <c r="BK1487" s="145"/>
    </row>
    <row r="1488" spans="1:63" s="147" customFormat="1" ht="15" x14ac:dyDescent="0.25">
      <c r="A1488" s="59"/>
      <c r="B1488" s="98"/>
      <c r="C1488" s="102" t="s">
        <v>63</v>
      </c>
      <c r="D1488" s="102"/>
      <c r="E1488" s="102"/>
      <c r="F1488" s="102"/>
      <c r="G1488" s="102"/>
      <c r="H1488" s="41"/>
      <c r="I1488" s="42"/>
      <c r="J1488" s="42"/>
      <c r="K1488" s="42"/>
      <c r="L1488" s="45"/>
      <c r="M1488" s="42"/>
      <c r="N1488" s="45"/>
      <c r="O1488" s="42"/>
      <c r="P1488" s="50">
        <v>4540.8554999999997</v>
      </c>
      <c r="Q1488" s="82"/>
      <c r="R1488" s="82"/>
      <c r="S1488" s="82"/>
      <c r="T1488" s="82"/>
      <c r="U1488" s="156"/>
      <c r="V1488" s="82"/>
      <c r="W1488" s="151"/>
      <c r="X1488" s="82"/>
      <c r="Y1488" s="82"/>
      <c r="Z1488" s="82"/>
      <c r="AA1488" s="82"/>
      <c r="AB1488" s="145"/>
      <c r="AC1488" s="145"/>
      <c r="AD1488" s="145"/>
      <c r="AE1488" s="145"/>
      <c r="AF1488" s="145"/>
      <c r="AG1488" s="145"/>
      <c r="AH1488" s="145"/>
      <c r="AI1488" s="145"/>
      <c r="AJ1488" s="145"/>
      <c r="AK1488" s="145"/>
      <c r="AL1488" s="145"/>
      <c r="AM1488" s="145"/>
      <c r="AN1488" s="145"/>
      <c r="AO1488" s="145"/>
      <c r="AP1488" s="145"/>
      <c r="AQ1488" s="145"/>
      <c r="AR1488" s="145"/>
      <c r="AS1488" s="145"/>
      <c r="AT1488" s="145"/>
      <c r="AU1488" s="145"/>
      <c r="AV1488" s="146"/>
      <c r="AW1488" s="146"/>
      <c r="AX1488" s="146"/>
      <c r="AY1488" s="146"/>
      <c r="AZ1488" s="145"/>
      <c r="BA1488" s="146"/>
      <c r="BB1488" s="145"/>
      <c r="BC1488" s="145"/>
      <c r="BD1488" s="145"/>
      <c r="BE1488" s="145"/>
      <c r="BF1488" s="145"/>
      <c r="BG1488" s="145"/>
      <c r="BH1488" s="145"/>
      <c r="BI1488" s="145"/>
      <c r="BJ1488" s="145"/>
      <c r="BK1488" s="145"/>
    </row>
    <row r="1489" spans="1:63" s="147" customFormat="1" ht="21.75" customHeight="1" x14ac:dyDescent="0.25">
      <c r="A1489" s="39" t="s">
        <v>895</v>
      </c>
      <c r="B1489" s="97" t="s">
        <v>290</v>
      </c>
      <c r="C1489" s="103" t="s">
        <v>291</v>
      </c>
      <c r="D1489" s="103"/>
      <c r="E1489" s="103"/>
      <c r="F1489" s="103"/>
      <c r="G1489" s="103"/>
      <c r="H1489" s="41" t="s">
        <v>292</v>
      </c>
      <c r="I1489" s="42">
        <v>0.9</v>
      </c>
      <c r="J1489" s="43">
        <v>1</v>
      </c>
      <c r="K1489" s="67">
        <v>0.9</v>
      </c>
      <c r="L1489" s="61">
        <v>565.04999999999995</v>
      </c>
      <c r="M1489" s="62">
        <v>1.1299999999999999</v>
      </c>
      <c r="N1489" s="61">
        <v>638.51</v>
      </c>
      <c r="O1489" s="42"/>
      <c r="P1489" s="50">
        <v>660.84749999999997</v>
      </c>
      <c r="Q1489" s="82"/>
      <c r="R1489" s="82"/>
      <c r="S1489" s="82"/>
      <c r="T1489" s="82"/>
      <c r="U1489" s="167"/>
      <c r="V1489" s="82"/>
      <c r="W1489" s="175"/>
      <c r="X1489" s="82"/>
      <c r="Y1489" s="82"/>
      <c r="Z1489" s="82"/>
      <c r="AA1489" s="82"/>
      <c r="AB1489" s="145"/>
      <c r="AC1489" s="145"/>
      <c r="AD1489" s="145"/>
      <c r="AE1489" s="145"/>
      <c r="AF1489" s="145"/>
      <c r="AG1489" s="145"/>
      <c r="AH1489" s="145"/>
      <c r="AI1489" s="145"/>
      <c r="AJ1489" s="145"/>
      <c r="AK1489" s="145"/>
      <c r="AL1489" s="145"/>
      <c r="AM1489" s="145"/>
      <c r="AN1489" s="145"/>
      <c r="AO1489" s="145"/>
      <c r="AP1489" s="145"/>
      <c r="AQ1489" s="145"/>
      <c r="AR1489" s="145"/>
      <c r="AS1489" s="145"/>
      <c r="AT1489" s="145"/>
      <c r="AU1489" s="145"/>
      <c r="AV1489" s="146"/>
      <c r="AW1489" s="146"/>
      <c r="AX1489" s="146"/>
      <c r="AY1489" s="146"/>
      <c r="AZ1489" s="145"/>
      <c r="BA1489" s="146"/>
      <c r="BB1489" s="145"/>
      <c r="BC1489" s="145"/>
      <c r="BD1489" s="145"/>
      <c r="BE1489" s="145"/>
      <c r="BF1489" s="145"/>
      <c r="BG1489" s="145"/>
      <c r="BH1489" s="145"/>
      <c r="BI1489" s="145"/>
      <c r="BJ1489" s="145"/>
      <c r="BK1489" s="145"/>
    </row>
    <row r="1490" spans="1:63" s="147" customFormat="1" ht="15" x14ac:dyDescent="0.25">
      <c r="A1490" s="59"/>
      <c r="B1490" s="98"/>
      <c r="C1490" s="102" t="s">
        <v>63</v>
      </c>
      <c r="D1490" s="102"/>
      <c r="E1490" s="102"/>
      <c r="F1490" s="102"/>
      <c r="G1490" s="102"/>
      <c r="H1490" s="41"/>
      <c r="I1490" s="42"/>
      <c r="J1490" s="42"/>
      <c r="K1490" s="42"/>
      <c r="L1490" s="45"/>
      <c r="M1490" s="42"/>
      <c r="N1490" s="45"/>
      <c r="O1490" s="42"/>
      <c r="P1490" s="50">
        <v>660.84749999999997</v>
      </c>
      <c r="Q1490" s="82"/>
      <c r="R1490" s="82"/>
      <c r="S1490" s="82"/>
      <c r="T1490" s="82"/>
      <c r="U1490" s="167"/>
      <c r="V1490" s="82"/>
      <c r="W1490" s="151"/>
      <c r="X1490" s="82"/>
      <c r="Y1490" s="82"/>
      <c r="Z1490" s="82"/>
      <c r="AA1490" s="82"/>
      <c r="AB1490" s="145"/>
      <c r="AC1490" s="145"/>
      <c r="AD1490" s="145"/>
      <c r="AE1490" s="145"/>
      <c r="AF1490" s="145"/>
      <c r="AG1490" s="145"/>
      <c r="AH1490" s="145"/>
      <c r="AI1490" s="145"/>
      <c r="AJ1490" s="145"/>
      <c r="AK1490" s="145"/>
      <c r="AL1490" s="145"/>
      <c r="AM1490" s="145"/>
      <c r="AN1490" s="145"/>
      <c r="AO1490" s="145"/>
      <c r="AP1490" s="145"/>
      <c r="AQ1490" s="145"/>
      <c r="AR1490" s="145"/>
      <c r="AS1490" s="145"/>
      <c r="AT1490" s="145"/>
      <c r="AU1490" s="145"/>
      <c r="AV1490" s="146"/>
      <c r="AW1490" s="146"/>
      <c r="AX1490" s="146"/>
      <c r="AY1490" s="146"/>
      <c r="AZ1490" s="145"/>
      <c r="BA1490" s="146"/>
      <c r="BB1490" s="145"/>
      <c r="BC1490" s="145"/>
      <c r="BD1490" s="145"/>
      <c r="BE1490" s="145"/>
      <c r="BF1490" s="145"/>
      <c r="BG1490" s="145"/>
      <c r="BH1490" s="145"/>
      <c r="BI1490" s="145"/>
      <c r="BJ1490" s="145"/>
      <c r="BK1490" s="145"/>
    </row>
    <row r="1491" spans="1:63" s="147" customFormat="1" ht="23.25" customHeight="1" x14ac:dyDescent="0.25">
      <c r="A1491" s="39" t="s">
        <v>896</v>
      </c>
      <c r="B1491" s="97" t="s">
        <v>294</v>
      </c>
      <c r="C1491" s="103" t="s">
        <v>295</v>
      </c>
      <c r="D1491" s="103"/>
      <c r="E1491" s="103"/>
      <c r="F1491" s="103"/>
      <c r="G1491" s="103"/>
      <c r="H1491" s="41" t="s">
        <v>83</v>
      </c>
      <c r="I1491" s="42">
        <v>9</v>
      </c>
      <c r="J1491" s="43">
        <v>1</v>
      </c>
      <c r="K1491" s="43">
        <v>9</v>
      </c>
      <c r="L1491" s="61">
        <v>279.64999999999998</v>
      </c>
      <c r="M1491" s="62">
        <v>1.36</v>
      </c>
      <c r="N1491" s="61">
        <v>380.32</v>
      </c>
      <c r="O1491" s="42"/>
      <c r="P1491" s="50">
        <v>6837.6239999999998</v>
      </c>
      <c r="Q1491" s="82"/>
      <c r="R1491" s="82"/>
      <c r="S1491" s="82"/>
      <c r="T1491" s="82"/>
      <c r="U1491" s="156"/>
      <c r="V1491" s="82"/>
      <c r="W1491" s="152"/>
      <c r="X1491" s="82"/>
      <c r="Y1491" s="82"/>
      <c r="Z1491" s="82"/>
      <c r="AA1491" s="82"/>
      <c r="AB1491" s="145"/>
      <c r="AC1491" s="145"/>
      <c r="AD1491" s="145"/>
      <c r="AE1491" s="145"/>
      <c r="AF1491" s="145"/>
      <c r="AG1491" s="145"/>
      <c r="AH1491" s="145"/>
      <c r="AI1491" s="145"/>
      <c r="AJ1491" s="145"/>
      <c r="AK1491" s="145"/>
      <c r="AL1491" s="145"/>
      <c r="AM1491" s="145"/>
      <c r="AN1491" s="145"/>
      <c r="AO1491" s="145"/>
      <c r="AP1491" s="145"/>
      <c r="AQ1491" s="145"/>
      <c r="AR1491" s="145"/>
      <c r="AS1491" s="145"/>
      <c r="AT1491" s="145"/>
      <c r="AU1491" s="145"/>
      <c r="AV1491" s="146"/>
      <c r="AW1491" s="146"/>
      <c r="AX1491" s="146"/>
      <c r="AY1491" s="146"/>
      <c r="AZ1491" s="145"/>
      <c r="BA1491" s="146"/>
      <c r="BB1491" s="145"/>
      <c r="BC1491" s="145"/>
      <c r="BD1491" s="145"/>
      <c r="BE1491" s="145"/>
      <c r="BF1491" s="145"/>
      <c r="BG1491" s="145"/>
      <c r="BH1491" s="145"/>
      <c r="BI1491" s="145"/>
      <c r="BJ1491" s="145"/>
      <c r="BK1491" s="145"/>
    </row>
    <row r="1492" spans="1:63" s="147" customFormat="1" ht="15" x14ac:dyDescent="0.25">
      <c r="A1492" s="59"/>
      <c r="B1492" s="98"/>
      <c r="C1492" s="102" t="s">
        <v>63</v>
      </c>
      <c r="D1492" s="102"/>
      <c r="E1492" s="102"/>
      <c r="F1492" s="102"/>
      <c r="G1492" s="102"/>
      <c r="H1492" s="41"/>
      <c r="I1492" s="42"/>
      <c r="J1492" s="42"/>
      <c r="K1492" s="42"/>
      <c r="L1492" s="45"/>
      <c r="M1492" s="42"/>
      <c r="N1492" s="45"/>
      <c r="O1492" s="42"/>
      <c r="P1492" s="50">
        <v>6837.6239999999998</v>
      </c>
      <c r="Q1492" s="82"/>
      <c r="R1492" s="82"/>
      <c r="S1492" s="82"/>
      <c r="T1492" s="82"/>
      <c r="U1492" s="156"/>
      <c r="V1492" s="82"/>
      <c r="W1492" s="82"/>
      <c r="X1492" s="82"/>
      <c r="Y1492" s="82"/>
      <c r="Z1492" s="82"/>
      <c r="AA1492" s="82"/>
      <c r="AB1492" s="145"/>
      <c r="AC1492" s="145"/>
      <c r="AD1492" s="145"/>
      <c r="AE1492" s="145"/>
      <c r="AF1492" s="145"/>
      <c r="AG1492" s="145"/>
      <c r="AH1492" s="145"/>
      <c r="AI1492" s="145"/>
      <c r="AJ1492" s="145"/>
      <c r="AK1492" s="145"/>
      <c r="AL1492" s="145"/>
      <c r="AM1492" s="145"/>
      <c r="AN1492" s="145"/>
      <c r="AO1492" s="145"/>
      <c r="AP1492" s="145"/>
      <c r="AQ1492" s="145"/>
      <c r="AR1492" s="145"/>
      <c r="AS1492" s="145"/>
      <c r="AT1492" s="145"/>
      <c r="AU1492" s="145"/>
      <c r="AV1492" s="146"/>
      <c r="AW1492" s="146"/>
      <c r="AX1492" s="146"/>
      <c r="AY1492" s="146"/>
      <c r="AZ1492" s="145"/>
      <c r="BA1492" s="146"/>
      <c r="BB1492" s="145"/>
      <c r="BC1492" s="145"/>
      <c r="BD1492" s="145"/>
      <c r="BE1492" s="145"/>
      <c r="BF1492" s="145"/>
      <c r="BG1492" s="145"/>
      <c r="BH1492" s="145"/>
      <c r="BI1492" s="145"/>
      <c r="BJ1492" s="145"/>
      <c r="BK1492" s="145"/>
    </row>
    <row r="1493" spans="1:63" s="147" customFormat="1" ht="0" hidden="1" customHeight="1" x14ac:dyDescent="0.25">
      <c r="A1493" s="70"/>
      <c r="B1493" s="71"/>
      <c r="C1493" s="71"/>
      <c r="D1493" s="71"/>
      <c r="E1493" s="71"/>
      <c r="F1493" s="72"/>
      <c r="G1493" s="72"/>
      <c r="H1493" s="72"/>
      <c r="I1493" s="72"/>
      <c r="J1493" s="73"/>
      <c r="K1493" s="72"/>
      <c r="L1493" s="72"/>
      <c r="M1493" s="72"/>
      <c r="N1493" s="73"/>
      <c r="O1493" s="74"/>
      <c r="P1493" s="50">
        <v>0</v>
      </c>
      <c r="Q1493" s="82"/>
      <c r="R1493" s="82"/>
      <c r="S1493" s="82"/>
      <c r="T1493" s="82"/>
      <c r="U1493" s="153"/>
      <c r="V1493" s="82"/>
      <c r="W1493" s="82"/>
      <c r="X1493" s="82"/>
      <c r="Y1493" s="82"/>
      <c r="Z1493" s="82"/>
      <c r="AA1493" s="82"/>
      <c r="AB1493" s="145"/>
      <c r="AC1493" s="145"/>
      <c r="AD1493" s="145"/>
      <c r="AE1493" s="145"/>
      <c r="AF1493" s="145"/>
      <c r="AG1493" s="145"/>
      <c r="AH1493" s="145"/>
      <c r="AI1493" s="145"/>
      <c r="AJ1493" s="145"/>
      <c r="AK1493" s="145"/>
      <c r="AL1493" s="145"/>
      <c r="AM1493" s="145"/>
      <c r="AN1493" s="145"/>
      <c r="AO1493" s="145"/>
      <c r="AP1493" s="145"/>
      <c r="AQ1493" s="145"/>
      <c r="AR1493" s="145"/>
      <c r="AS1493" s="145"/>
      <c r="AT1493" s="145"/>
      <c r="AU1493" s="145"/>
      <c r="AV1493" s="146"/>
      <c r="AW1493" s="146"/>
      <c r="AX1493" s="146"/>
      <c r="AY1493" s="146"/>
      <c r="AZ1493" s="145"/>
      <c r="BA1493" s="146"/>
      <c r="BB1493" s="145"/>
      <c r="BC1493" s="145"/>
      <c r="BD1493" s="145"/>
      <c r="BE1493" s="145"/>
      <c r="BF1493" s="145"/>
      <c r="BG1493" s="145"/>
      <c r="BH1493" s="145"/>
      <c r="BI1493" s="145"/>
      <c r="BJ1493" s="145"/>
      <c r="BK1493" s="145"/>
    </row>
    <row r="1494" spans="1:63" s="147" customFormat="1" ht="15" x14ac:dyDescent="0.25">
      <c r="A1494" s="39" t="s">
        <v>897</v>
      </c>
      <c r="B1494" s="97" t="s">
        <v>313</v>
      </c>
      <c r="C1494" s="103" t="s">
        <v>312</v>
      </c>
      <c r="D1494" s="103"/>
      <c r="E1494" s="103"/>
      <c r="F1494" s="103"/>
      <c r="G1494" s="103"/>
      <c r="H1494" s="41" t="s">
        <v>75</v>
      </c>
      <c r="I1494" s="42">
        <v>0.03</v>
      </c>
      <c r="J1494" s="43">
        <v>1</v>
      </c>
      <c r="K1494" s="62">
        <v>0.03</v>
      </c>
      <c r="L1494" s="45"/>
      <c r="M1494" s="42"/>
      <c r="N1494" s="45"/>
      <c r="O1494" s="42"/>
      <c r="P1494" s="50"/>
      <c r="Q1494" s="82"/>
      <c r="R1494" s="82"/>
      <c r="S1494" s="82"/>
      <c r="T1494" s="82"/>
      <c r="U1494" s="153"/>
      <c r="V1494" s="82"/>
      <c r="W1494" s="168"/>
      <c r="X1494" s="82"/>
      <c r="Y1494" s="82"/>
      <c r="Z1494" s="82"/>
      <c r="AA1494" s="82"/>
      <c r="AB1494" s="145"/>
      <c r="AC1494" s="145"/>
      <c r="AD1494" s="145"/>
      <c r="AE1494" s="145"/>
      <c r="AF1494" s="145"/>
      <c r="AG1494" s="145"/>
      <c r="AH1494" s="145"/>
      <c r="AI1494" s="145"/>
      <c r="AJ1494" s="145"/>
      <c r="AK1494" s="145"/>
      <c r="AL1494" s="145"/>
      <c r="AM1494" s="145"/>
      <c r="AN1494" s="145"/>
      <c r="AO1494" s="145"/>
      <c r="AP1494" s="145"/>
      <c r="AQ1494" s="145"/>
      <c r="AR1494" s="145"/>
      <c r="AS1494" s="145"/>
      <c r="AT1494" s="145"/>
      <c r="AU1494" s="145"/>
      <c r="AV1494" s="146"/>
      <c r="AW1494" s="146"/>
      <c r="AX1494" s="146"/>
      <c r="AY1494" s="146"/>
      <c r="AZ1494" s="145"/>
      <c r="BA1494" s="146"/>
      <c r="BB1494" s="145"/>
      <c r="BC1494" s="145"/>
      <c r="BD1494" s="145"/>
      <c r="BE1494" s="145"/>
      <c r="BF1494" s="145"/>
      <c r="BG1494" s="145"/>
      <c r="BH1494" s="145"/>
      <c r="BI1494" s="145"/>
      <c r="BJ1494" s="145"/>
      <c r="BK1494" s="145"/>
    </row>
    <row r="1495" spans="1:63" s="147" customFormat="1" ht="15" x14ac:dyDescent="0.25">
      <c r="A1495" s="47"/>
      <c r="B1495" s="48"/>
      <c r="C1495" s="102" t="s">
        <v>56</v>
      </c>
      <c r="D1495" s="102"/>
      <c r="E1495" s="102"/>
      <c r="F1495" s="102"/>
      <c r="G1495" s="102"/>
      <c r="H1495" s="41"/>
      <c r="I1495" s="42"/>
      <c r="J1495" s="42"/>
      <c r="K1495" s="42"/>
      <c r="L1495" s="45"/>
      <c r="M1495" s="42"/>
      <c r="N1495" s="49"/>
      <c r="O1495" s="42"/>
      <c r="P1495" s="50">
        <v>2405.2824999999998</v>
      </c>
      <c r="Q1495" s="157"/>
      <c r="R1495" s="157"/>
      <c r="S1495" s="82"/>
      <c r="T1495" s="82"/>
      <c r="U1495" s="156"/>
      <c r="V1495" s="82"/>
      <c r="W1495" s="151"/>
      <c r="X1495" s="82"/>
      <c r="Y1495" s="82"/>
      <c r="Z1495" s="82"/>
      <c r="AA1495" s="82"/>
      <c r="AB1495" s="145"/>
      <c r="AC1495" s="145"/>
      <c r="AD1495" s="145"/>
      <c r="AE1495" s="145"/>
      <c r="AF1495" s="145"/>
      <c r="AG1495" s="145"/>
      <c r="AH1495" s="145"/>
      <c r="AI1495" s="145"/>
      <c r="AJ1495" s="145"/>
      <c r="AK1495" s="145"/>
      <c r="AL1495" s="145"/>
      <c r="AM1495" s="145"/>
      <c r="AN1495" s="145"/>
      <c r="AO1495" s="145"/>
      <c r="AP1495" s="145"/>
      <c r="AQ1495" s="145"/>
      <c r="AR1495" s="145"/>
      <c r="AS1495" s="145"/>
      <c r="AT1495" s="145"/>
      <c r="AU1495" s="145"/>
      <c r="AV1495" s="146"/>
      <c r="AW1495" s="146"/>
      <c r="AX1495" s="146"/>
      <c r="AY1495" s="146"/>
      <c r="AZ1495" s="145"/>
      <c r="BA1495" s="146"/>
      <c r="BB1495" s="145"/>
      <c r="BC1495" s="145"/>
      <c r="BD1495" s="145"/>
      <c r="BE1495" s="145"/>
      <c r="BF1495" s="145"/>
      <c r="BG1495" s="145"/>
      <c r="BH1495" s="145"/>
      <c r="BI1495" s="145"/>
      <c r="BJ1495" s="145"/>
      <c r="BK1495" s="145"/>
    </row>
    <row r="1496" spans="1:63" s="147" customFormat="1" ht="15" x14ac:dyDescent="0.25">
      <c r="A1496" s="52"/>
      <c r="B1496" s="53"/>
      <c r="C1496" s="104" t="s">
        <v>57</v>
      </c>
      <c r="D1496" s="104"/>
      <c r="E1496" s="104"/>
      <c r="F1496" s="104"/>
      <c r="G1496" s="104"/>
      <c r="H1496" s="54"/>
      <c r="I1496" s="55"/>
      <c r="J1496" s="55"/>
      <c r="K1496" s="55"/>
      <c r="L1496" s="56"/>
      <c r="M1496" s="55"/>
      <c r="N1496" s="56"/>
      <c r="O1496" s="55"/>
      <c r="P1496" s="77">
        <v>1917.7860000000001</v>
      </c>
      <c r="Q1496" s="82"/>
      <c r="R1496" s="82"/>
      <c r="S1496" s="82"/>
      <c r="T1496" s="82"/>
      <c r="U1496" s="163"/>
      <c r="V1496" s="82"/>
      <c r="W1496" s="160"/>
      <c r="X1496" s="82"/>
      <c r="Y1496" s="82"/>
      <c r="Z1496" s="82"/>
      <c r="AA1496" s="82"/>
      <c r="AB1496" s="145"/>
      <c r="AC1496" s="145"/>
      <c r="AD1496" s="145"/>
      <c r="AE1496" s="145"/>
      <c r="AF1496" s="145"/>
      <c r="AG1496" s="145"/>
      <c r="AH1496" s="145"/>
      <c r="AI1496" s="145"/>
      <c r="AJ1496" s="145"/>
      <c r="AK1496" s="145"/>
      <c r="AL1496" s="145"/>
      <c r="AM1496" s="145"/>
      <c r="AN1496" s="145"/>
      <c r="AO1496" s="145"/>
      <c r="AP1496" s="145"/>
      <c r="AQ1496" s="145"/>
      <c r="AR1496" s="145"/>
      <c r="AS1496" s="145"/>
      <c r="AT1496" s="145"/>
      <c r="AU1496" s="145"/>
      <c r="AV1496" s="146"/>
      <c r="AW1496" s="146"/>
      <c r="AX1496" s="146"/>
      <c r="AY1496" s="146"/>
      <c r="AZ1496" s="145"/>
      <c r="BA1496" s="146"/>
      <c r="BB1496" s="145"/>
      <c r="BC1496" s="145"/>
      <c r="BD1496" s="145"/>
      <c r="BE1496" s="145"/>
      <c r="BF1496" s="145"/>
      <c r="BG1496" s="145"/>
      <c r="BH1496" s="145"/>
      <c r="BI1496" s="145"/>
      <c r="BJ1496" s="145"/>
      <c r="BK1496" s="145"/>
    </row>
    <row r="1497" spans="1:63" s="147" customFormat="1" ht="15" x14ac:dyDescent="0.25">
      <c r="A1497" s="52"/>
      <c r="B1497" s="53" t="s">
        <v>225</v>
      </c>
      <c r="C1497" s="104" t="s">
        <v>226</v>
      </c>
      <c r="D1497" s="104"/>
      <c r="E1497" s="104"/>
      <c r="F1497" s="104"/>
      <c r="G1497" s="104"/>
      <c r="H1497" s="54" t="s">
        <v>60</v>
      </c>
      <c r="I1497" s="58">
        <v>103</v>
      </c>
      <c r="J1497" s="55"/>
      <c r="K1497" s="58">
        <v>103</v>
      </c>
      <c r="L1497" s="56"/>
      <c r="M1497" s="55"/>
      <c r="N1497" s="56"/>
      <c r="O1497" s="55"/>
      <c r="P1497" s="77">
        <v>1975.3205</v>
      </c>
      <c r="Q1497" s="82"/>
      <c r="R1497" s="82"/>
      <c r="S1497" s="82"/>
      <c r="T1497" s="82"/>
      <c r="U1497" s="163"/>
      <c r="V1497" s="82"/>
      <c r="W1497" s="164"/>
      <c r="X1497" s="82"/>
      <c r="Y1497" s="82"/>
      <c r="Z1497" s="82"/>
      <c r="AA1497" s="82"/>
      <c r="AB1497" s="145"/>
      <c r="AC1497" s="145"/>
      <c r="AD1497" s="145"/>
      <c r="AE1497" s="145"/>
      <c r="AF1497" s="145"/>
      <c r="AG1497" s="145"/>
      <c r="AH1497" s="145"/>
      <c r="AI1497" s="145"/>
      <c r="AJ1497" s="145"/>
      <c r="AK1497" s="145"/>
      <c r="AL1497" s="145"/>
      <c r="AM1497" s="145"/>
      <c r="AN1497" s="145"/>
      <c r="AO1497" s="145"/>
      <c r="AP1497" s="145"/>
      <c r="AQ1497" s="145"/>
      <c r="AR1497" s="145"/>
      <c r="AS1497" s="145"/>
      <c r="AT1497" s="145"/>
      <c r="AU1497" s="145"/>
      <c r="AV1497" s="146"/>
      <c r="AW1497" s="146"/>
      <c r="AX1497" s="146"/>
      <c r="AY1497" s="146"/>
      <c r="AZ1497" s="145"/>
      <c r="BA1497" s="146"/>
      <c r="BB1497" s="145"/>
      <c r="BC1497" s="145"/>
      <c r="BD1497" s="145"/>
      <c r="BE1497" s="145"/>
      <c r="BF1497" s="145"/>
      <c r="BG1497" s="145"/>
      <c r="BH1497" s="145"/>
      <c r="BI1497" s="145"/>
      <c r="BJ1497" s="145"/>
      <c r="BK1497" s="145"/>
    </row>
    <row r="1498" spans="1:63" s="147" customFormat="1" ht="15" x14ac:dyDescent="0.25">
      <c r="A1498" s="52"/>
      <c r="B1498" s="53" t="s">
        <v>227</v>
      </c>
      <c r="C1498" s="104" t="s">
        <v>228</v>
      </c>
      <c r="D1498" s="104"/>
      <c r="E1498" s="104"/>
      <c r="F1498" s="104"/>
      <c r="G1498" s="104"/>
      <c r="H1498" s="54" t="s">
        <v>60</v>
      </c>
      <c r="I1498" s="58">
        <v>52</v>
      </c>
      <c r="J1498" s="55"/>
      <c r="K1498" s="58">
        <v>52</v>
      </c>
      <c r="L1498" s="56"/>
      <c r="M1498" s="55"/>
      <c r="N1498" s="56"/>
      <c r="O1498" s="55"/>
      <c r="P1498" s="77">
        <v>997.24549999999988</v>
      </c>
      <c r="Q1498" s="82"/>
      <c r="R1498" s="82"/>
      <c r="S1498" s="82"/>
      <c r="T1498" s="82"/>
      <c r="U1498" s="170"/>
      <c r="V1498" s="82"/>
      <c r="W1498" s="164"/>
      <c r="X1498" s="82"/>
      <c r="Y1498" s="82"/>
      <c r="Z1498" s="82"/>
      <c r="AA1498" s="82"/>
      <c r="AB1498" s="145"/>
      <c r="AC1498" s="145"/>
      <c r="AD1498" s="145"/>
      <c r="AE1498" s="145"/>
      <c r="AF1498" s="145"/>
      <c r="AG1498" s="145"/>
      <c r="AH1498" s="145"/>
      <c r="AI1498" s="145"/>
      <c r="AJ1498" s="145"/>
      <c r="AK1498" s="145"/>
      <c r="AL1498" s="145"/>
      <c r="AM1498" s="145"/>
      <c r="AN1498" s="145"/>
      <c r="AO1498" s="145"/>
      <c r="AP1498" s="145"/>
      <c r="AQ1498" s="145"/>
      <c r="AR1498" s="145"/>
      <c r="AS1498" s="145"/>
      <c r="AT1498" s="145"/>
      <c r="AU1498" s="145"/>
      <c r="AV1498" s="146"/>
      <c r="AW1498" s="146"/>
      <c r="AX1498" s="146"/>
      <c r="AY1498" s="146"/>
      <c r="AZ1498" s="145"/>
      <c r="BA1498" s="146"/>
      <c r="BB1498" s="145"/>
      <c r="BC1498" s="145"/>
      <c r="BD1498" s="145"/>
      <c r="BE1498" s="145"/>
      <c r="BF1498" s="145"/>
      <c r="BG1498" s="145"/>
      <c r="BH1498" s="145"/>
      <c r="BI1498" s="145"/>
      <c r="BJ1498" s="145"/>
      <c r="BK1498" s="145"/>
    </row>
    <row r="1499" spans="1:63" s="147" customFormat="1" ht="15" x14ac:dyDescent="0.25">
      <c r="A1499" s="59"/>
      <c r="B1499" s="98"/>
      <c r="C1499" s="102" t="s">
        <v>63</v>
      </c>
      <c r="D1499" s="102"/>
      <c r="E1499" s="102"/>
      <c r="F1499" s="102"/>
      <c r="G1499" s="102"/>
      <c r="H1499" s="41"/>
      <c r="I1499" s="42"/>
      <c r="J1499" s="42"/>
      <c r="K1499" s="42"/>
      <c r="L1499" s="45"/>
      <c r="M1499" s="42"/>
      <c r="N1499" s="49">
        <f>P1499/K1494</f>
        <v>63926.28333333334</v>
      </c>
      <c r="O1499" s="42"/>
      <c r="P1499" s="50">
        <v>1917.7885000000001</v>
      </c>
      <c r="Q1499" s="82"/>
      <c r="R1499" s="82"/>
      <c r="S1499" s="82"/>
      <c r="T1499" s="82"/>
      <c r="U1499" s="156"/>
      <c r="V1499" s="82"/>
      <c r="W1499" s="151"/>
      <c r="X1499" s="82"/>
      <c r="Y1499" s="82"/>
      <c r="Z1499" s="82"/>
      <c r="AA1499" s="82"/>
      <c r="AB1499" s="145"/>
      <c r="AC1499" s="145"/>
      <c r="AD1499" s="145"/>
      <c r="AE1499" s="145"/>
      <c r="AF1499" s="145"/>
      <c r="AG1499" s="145"/>
      <c r="AH1499" s="145"/>
      <c r="AI1499" s="145"/>
      <c r="AJ1499" s="145"/>
      <c r="AK1499" s="145"/>
      <c r="AL1499" s="145"/>
      <c r="AM1499" s="145"/>
      <c r="AN1499" s="145"/>
      <c r="AO1499" s="145"/>
      <c r="AP1499" s="145"/>
      <c r="AQ1499" s="145"/>
      <c r="AR1499" s="145"/>
      <c r="AS1499" s="145"/>
      <c r="AT1499" s="145"/>
      <c r="AU1499" s="145"/>
      <c r="AV1499" s="146"/>
      <c r="AW1499" s="146"/>
      <c r="AX1499" s="146"/>
      <c r="AY1499" s="146"/>
      <c r="AZ1499" s="145"/>
      <c r="BA1499" s="146"/>
      <c r="BB1499" s="145"/>
      <c r="BC1499" s="145"/>
      <c r="BD1499" s="145"/>
      <c r="BE1499" s="145"/>
      <c r="BF1499" s="145"/>
      <c r="BG1499" s="145"/>
      <c r="BH1499" s="145"/>
      <c r="BI1499" s="145"/>
      <c r="BJ1499" s="145"/>
      <c r="BK1499" s="145"/>
    </row>
    <row r="1500" spans="1:63" s="147" customFormat="1" ht="15" x14ac:dyDescent="0.25">
      <c r="A1500" s="39" t="s">
        <v>898</v>
      </c>
      <c r="B1500" s="97" t="s">
        <v>314</v>
      </c>
      <c r="C1500" s="103" t="s">
        <v>315</v>
      </c>
      <c r="D1500" s="103"/>
      <c r="E1500" s="103"/>
      <c r="F1500" s="103"/>
      <c r="G1500" s="103"/>
      <c r="H1500" s="41" t="s">
        <v>83</v>
      </c>
      <c r="I1500" s="42">
        <v>3</v>
      </c>
      <c r="J1500" s="43">
        <v>1</v>
      </c>
      <c r="K1500" s="43">
        <v>3</v>
      </c>
      <c r="L1500" s="49">
        <f>N1500/M1500</f>
        <v>4144.2009132420089</v>
      </c>
      <c r="M1500" s="62">
        <v>1.46</v>
      </c>
      <c r="N1500" s="49">
        <f>P1500/K1500</f>
        <v>6050.5333333333328</v>
      </c>
      <c r="O1500" s="42"/>
      <c r="P1500" s="50">
        <v>18151.599999999999</v>
      </c>
      <c r="Q1500" s="82"/>
      <c r="R1500" s="82"/>
      <c r="S1500" s="82"/>
      <c r="T1500" s="82"/>
      <c r="U1500" s="156"/>
      <c r="V1500" s="82"/>
      <c r="W1500" s="152"/>
      <c r="X1500" s="82"/>
      <c r="Y1500" s="82"/>
      <c r="Z1500" s="82"/>
      <c r="AA1500" s="82"/>
      <c r="AB1500" s="145"/>
      <c r="AC1500" s="145"/>
      <c r="AD1500" s="145"/>
      <c r="AE1500" s="145"/>
      <c r="AF1500" s="145"/>
      <c r="AG1500" s="145"/>
      <c r="AH1500" s="145"/>
      <c r="AI1500" s="145"/>
      <c r="AJ1500" s="145"/>
      <c r="AK1500" s="145"/>
      <c r="AL1500" s="145"/>
      <c r="AM1500" s="145"/>
      <c r="AN1500" s="145"/>
      <c r="AO1500" s="145"/>
      <c r="AP1500" s="145"/>
      <c r="AQ1500" s="145"/>
      <c r="AR1500" s="145"/>
      <c r="AS1500" s="145"/>
      <c r="AT1500" s="145"/>
      <c r="AU1500" s="145"/>
      <c r="AV1500" s="146"/>
      <c r="AW1500" s="146"/>
      <c r="AX1500" s="146"/>
      <c r="AY1500" s="146"/>
      <c r="AZ1500" s="145"/>
      <c r="BA1500" s="146"/>
      <c r="BB1500" s="145"/>
      <c r="BC1500" s="145"/>
      <c r="BD1500" s="145"/>
      <c r="BE1500" s="145"/>
      <c r="BF1500" s="145"/>
      <c r="BG1500" s="145"/>
      <c r="BH1500" s="145"/>
      <c r="BI1500" s="145"/>
      <c r="BJ1500" s="145"/>
      <c r="BK1500" s="145"/>
    </row>
    <row r="1501" spans="1:63" s="147" customFormat="1" ht="15" customHeight="1" x14ac:dyDescent="0.25">
      <c r="A1501" s="249" t="s">
        <v>584</v>
      </c>
      <c r="B1501" s="99"/>
      <c r="C1501" s="99"/>
      <c r="D1501" s="99"/>
      <c r="E1501" s="99"/>
      <c r="F1501" s="99"/>
      <c r="G1501" s="99"/>
      <c r="H1501" s="99"/>
      <c r="I1501" s="99"/>
      <c r="J1501" s="99"/>
      <c r="K1501" s="99"/>
      <c r="L1501" s="99"/>
      <c r="M1501" s="99"/>
      <c r="N1501" s="99"/>
      <c r="O1501" s="99"/>
      <c r="P1501" s="77">
        <v>452815.76433383406</v>
      </c>
      <c r="Q1501" s="182"/>
      <c r="R1501" s="182"/>
      <c r="S1501" s="82"/>
      <c r="T1501" s="82"/>
      <c r="U1501" s="162"/>
      <c r="V1501" s="82"/>
      <c r="W1501" s="82"/>
      <c r="X1501" s="82"/>
      <c r="Y1501" s="82"/>
      <c r="Z1501" s="82"/>
      <c r="AA1501" s="82"/>
      <c r="AB1501" s="145"/>
      <c r="AC1501" s="145"/>
      <c r="AD1501" s="145"/>
      <c r="AE1501" s="145"/>
      <c r="AF1501" s="145"/>
      <c r="AG1501" s="145"/>
      <c r="AH1501" s="145"/>
      <c r="AI1501" s="145"/>
      <c r="AJ1501" s="145"/>
      <c r="AK1501" s="145"/>
      <c r="AL1501" s="145"/>
      <c r="AM1501" s="145"/>
      <c r="AN1501" s="145"/>
      <c r="AO1501" s="145"/>
      <c r="AP1501" s="145"/>
      <c r="AQ1501" s="145"/>
      <c r="AR1501" s="145"/>
      <c r="AS1501" s="145"/>
      <c r="AT1501" s="145"/>
      <c r="AU1501" s="145"/>
      <c r="AV1501" s="145"/>
      <c r="AW1501" s="145"/>
      <c r="AX1501" s="145"/>
      <c r="AY1501" s="145"/>
      <c r="AZ1501" s="145"/>
      <c r="BA1501" s="145"/>
      <c r="BB1501" s="146"/>
      <c r="BC1501" s="183"/>
      <c r="BD1501" s="183"/>
      <c r="BE1501" s="146"/>
      <c r="BF1501" s="145"/>
      <c r="BG1501" s="145"/>
      <c r="BH1501" s="145"/>
      <c r="BI1501" s="145"/>
      <c r="BJ1501" s="145"/>
      <c r="BK1501" s="145"/>
    </row>
    <row r="1502" spans="1:63" s="189" customFormat="1" ht="12" customHeight="1" x14ac:dyDescent="0.2">
      <c r="A1502" s="266" t="s">
        <v>322</v>
      </c>
      <c r="B1502" s="266"/>
      <c r="C1502" s="266"/>
      <c r="D1502" s="266"/>
      <c r="E1502" s="266"/>
      <c r="F1502" s="266"/>
      <c r="G1502" s="266"/>
      <c r="H1502" s="266"/>
      <c r="I1502" s="266"/>
      <c r="J1502" s="266"/>
      <c r="K1502" s="266"/>
      <c r="L1502" s="266"/>
      <c r="M1502" s="266"/>
      <c r="N1502" s="266"/>
      <c r="O1502" s="267"/>
      <c r="P1502" s="287"/>
      <c r="V1502" s="190" t="s">
        <v>323</v>
      </c>
      <c r="W1502" s="191"/>
      <c r="AB1502" s="191"/>
      <c r="AD1502" s="191"/>
      <c r="AF1502" s="191"/>
    </row>
    <row r="1503" spans="1:63" s="189" customFormat="1" ht="26.25" customHeight="1" x14ac:dyDescent="0.2">
      <c r="A1503" s="213">
        <v>390</v>
      </c>
      <c r="B1503" s="214" t="s">
        <v>324</v>
      </c>
      <c r="C1503" s="244" t="s">
        <v>325</v>
      </c>
      <c r="D1503" s="244"/>
      <c r="E1503" s="244"/>
      <c r="F1503" s="244"/>
      <c r="G1503" s="244"/>
      <c r="H1503" s="221" t="s">
        <v>55</v>
      </c>
      <c r="I1503" s="221"/>
      <c r="J1503" s="221"/>
      <c r="K1503" s="221">
        <v>0.1041</v>
      </c>
      <c r="L1503" s="245"/>
      <c r="M1503" s="221"/>
      <c r="N1503" s="245"/>
      <c r="O1503" s="221"/>
      <c r="P1503" s="248"/>
      <c r="V1503" s="190"/>
      <c r="W1503" s="191" t="s">
        <v>325</v>
      </c>
      <c r="AB1503" s="191"/>
      <c r="AD1503" s="191"/>
      <c r="AF1503" s="191"/>
      <c r="AJ1503" s="189">
        <v>2.8622201411493902</v>
      </c>
      <c r="AK1503" s="198"/>
    </row>
    <row r="1504" spans="1:63" s="189" customFormat="1" ht="12" customHeight="1" x14ac:dyDescent="0.2">
      <c r="A1504" s="199"/>
      <c r="B1504" s="200"/>
      <c r="C1504" s="201" t="s">
        <v>326</v>
      </c>
      <c r="D1504" s="201"/>
      <c r="E1504" s="201"/>
      <c r="F1504" s="201"/>
      <c r="G1504" s="201"/>
      <c r="H1504" s="201"/>
      <c r="I1504" s="201"/>
      <c r="J1504" s="201"/>
      <c r="K1504" s="201"/>
      <c r="L1504" s="201"/>
      <c r="M1504" s="201"/>
      <c r="N1504" s="201"/>
      <c r="P1504" s="288"/>
      <c r="V1504" s="190"/>
      <c r="W1504" s="191"/>
      <c r="X1504" s="203" t="s">
        <v>327</v>
      </c>
      <c r="AB1504" s="191"/>
      <c r="AD1504" s="191"/>
      <c r="AF1504" s="191"/>
      <c r="AJ1504" s="189">
        <v>2.8622201411493902</v>
      </c>
    </row>
    <row r="1505" spans="1:37" s="189" customFormat="1" ht="12" customHeight="1" x14ac:dyDescent="0.2">
      <c r="A1505" s="204"/>
      <c r="B1505" s="205" t="s">
        <v>52</v>
      </c>
      <c r="C1505" s="201" t="s">
        <v>328</v>
      </c>
      <c r="D1505" s="201"/>
      <c r="E1505" s="201"/>
      <c r="F1505" s="231"/>
      <c r="G1505" s="231"/>
      <c r="H1505" s="206"/>
      <c r="I1505" s="206"/>
      <c r="L1505" s="228">
        <v>144.97999999999999</v>
      </c>
      <c r="M1505" s="228"/>
      <c r="N1505" s="228"/>
      <c r="O1505" s="228"/>
      <c r="P1505" s="229"/>
      <c r="V1505" s="190"/>
      <c r="W1505" s="191"/>
      <c r="Y1505" s="203" t="s">
        <v>328</v>
      </c>
      <c r="AB1505" s="191"/>
      <c r="AD1505" s="191"/>
      <c r="AF1505" s="191"/>
      <c r="AJ1505" s="189">
        <v>2.8622201411493902</v>
      </c>
      <c r="AK1505" s="208">
        <v>792</v>
      </c>
    </row>
    <row r="1506" spans="1:37" s="189" customFormat="1" ht="12" customHeight="1" x14ac:dyDescent="0.2">
      <c r="A1506" s="204"/>
      <c r="B1506" s="205"/>
      <c r="C1506" s="201" t="s">
        <v>330</v>
      </c>
      <c r="D1506" s="201"/>
      <c r="E1506" s="201"/>
      <c r="F1506" s="231"/>
      <c r="G1506" s="231"/>
      <c r="H1506" s="206" t="s">
        <v>331</v>
      </c>
      <c r="I1506" s="206" t="s">
        <v>332</v>
      </c>
      <c r="J1506" s="206"/>
      <c r="K1506" s="206" t="s">
        <v>333</v>
      </c>
      <c r="L1506" s="207"/>
      <c r="M1506" s="206"/>
      <c r="N1506" s="207"/>
      <c r="O1506" s="206"/>
      <c r="P1506" s="248"/>
      <c r="V1506" s="190"/>
      <c r="W1506" s="191"/>
      <c r="Z1506" s="203" t="s">
        <v>330</v>
      </c>
      <c r="AB1506" s="191"/>
      <c r="AD1506" s="191"/>
      <c r="AF1506" s="191"/>
      <c r="AJ1506" s="189">
        <v>2.8622201411493902</v>
      </c>
      <c r="AK1506" s="208"/>
    </row>
    <row r="1507" spans="1:37" s="189" customFormat="1" ht="12" customHeight="1" x14ac:dyDescent="0.2">
      <c r="A1507" s="204"/>
      <c r="B1507" s="205"/>
      <c r="C1507" s="209" t="s">
        <v>334</v>
      </c>
      <c r="D1507" s="209"/>
      <c r="E1507" s="209"/>
      <c r="F1507" s="238"/>
      <c r="G1507" s="238"/>
      <c r="H1507" s="210"/>
      <c r="I1507" s="210"/>
      <c r="J1507" s="210"/>
      <c r="K1507" s="210"/>
      <c r="L1507" s="211">
        <v>144.97999999999999</v>
      </c>
      <c r="M1507" s="210"/>
      <c r="N1507" s="211">
        <v>21.76</v>
      </c>
      <c r="O1507" s="210"/>
      <c r="P1507" s="197"/>
      <c r="V1507" s="190"/>
      <c r="W1507" s="191"/>
      <c r="AA1507" s="203" t="s">
        <v>334</v>
      </c>
      <c r="AB1507" s="191"/>
      <c r="AD1507" s="191"/>
      <c r="AF1507" s="191"/>
      <c r="AJ1507" s="189">
        <v>2.8622201411493902</v>
      </c>
      <c r="AK1507" s="212"/>
    </row>
    <row r="1508" spans="1:37" s="189" customFormat="1" ht="12" customHeight="1" x14ac:dyDescent="0.2">
      <c r="A1508" s="204"/>
      <c r="B1508" s="205"/>
      <c r="C1508" s="201" t="s">
        <v>57</v>
      </c>
      <c r="D1508" s="201"/>
      <c r="E1508" s="201"/>
      <c r="F1508" s="231"/>
      <c r="G1508" s="231"/>
      <c r="H1508" s="206"/>
      <c r="I1508" s="206"/>
      <c r="J1508" s="206"/>
      <c r="K1508" s="206"/>
      <c r="L1508" s="207"/>
      <c r="M1508" s="206"/>
      <c r="N1508" s="207">
        <v>21.76</v>
      </c>
      <c r="O1508" s="206"/>
      <c r="P1508" s="248">
        <f>AJ1508*AK1508</f>
        <v>2266.8783517903171</v>
      </c>
      <c r="V1508" s="190"/>
      <c r="W1508" s="191"/>
      <c r="Z1508" s="203" t="s">
        <v>57</v>
      </c>
      <c r="AB1508" s="191"/>
      <c r="AD1508" s="191"/>
      <c r="AF1508" s="191"/>
      <c r="AJ1508" s="189">
        <v>2.8622201411493902</v>
      </c>
      <c r="AK1508" s="208">
        <v>792</v>
      </c>
    </row>
    <row r="1509" spans="1:37" s="189" customFormat="1" ht="12" customHeight="1" x14ac:dyDescent="0.2">
      <c r="A1509" s="204"/>
      <c r="B1509" s="205" t="s">
        <v>335</v>
      </c>
      <c r="C1509" s="201" t="s">
        <v>336</v>
      </c>
      <c r="D1509" s="201"/>
      <c r="E1509" s="201"/>
      <c r="F1509" s="231"/>
      <c r="G1509" s="231"/>
      <c r="H1509" s="206" t="s">
        <v>60</v>
      </c>
      <c r="I1509" s="206" t="s">
        <v>337</v>
      </c>
      <c r="J1509" s="206"/>
      <c r="K1509" s="206" t="s">
        <v>337</v>
      </c>
      <c r="L1509" s="207"/>
      <c r="M1509" s="206"/>
      <c r="N1509" s="207">
        <v>19.579999999999998</v>
      </c>
      <c r="O1509" s="206"/>
      <c r="P1509" s="248">
        <f>AJ1509*AK1509</f>
        <v>2040.7629606395151</v>
      </c>
      <c r="V1509" s="190"/>
      <c r="W1509" s="191"/>
      <c r="Z1509" s="203" t="s">
        <v>336</v>
      </c>
      <c r="AB1509" s="191"/>
      <c r="AD1509" s="191"/>
      <c r="AF1509" s="191"/>
      <c r="AJ1509" s="189">
        <v>2.8622201411493902</v>
      </c>
      <c r="AK1509" s="208">
        <v>713</v>
      </c>
    </row>
    <row r="1510" spans="1:37" s="189" customFormat="1" ht="12" customHeight="1" x14ac:dyDescent="0.2">
      <c r="A1510" s="204"/>
      <c r="B1510" s="205" t="s">
        <v>338</v>
      </c>
      <c r="C1510" s="201" t="s">
        <v>339</v>
      </c>
      <c r="D1510" s="201"/>
      <c r="E1510" s="201"/>
      <c r="F1510" s="231"/>
      <c r="G1510" s="231"/>
      <c r="H1510" s="206" t="s">
        <v>60</v>
      </c>
      <c r="I1510" s="206" t="s">
        <v>238</v>
      </c>
      <c r="J1510" s="206"/>
      <c r="K1510" s="206" t="s">
        <v>238</v>
      </c>
      <c r="L1510" s="207"/>
      <c r="M1510" s="206"/>
      <c r="N1510" s="207">
        <v>10.01</v>
      </c>
      <c r="O1510" s="206"/>
      <c r="P1510" s="248">
        <f>AJ1510*AK1510</f>
        <v>1041.848131378378</v>
      </c>
      <c r="V1510" s="190"/>
      <c r="W1510" s="191"/>
      <c r="Z1510" s="203" t="s">
        <v>339</v>
      </c>
      <c r="AB1510" s="191"/>
      <c r="AD1510" s="191"/>
      <c r="AF1510" s="191"/>
      <c r="AJ1510" s="189">
        <v>2.8622201411493902</v>
      </c>
      <c r="AK1510" s="208">
        <v>364</v>
      </c>
    </row>
    <row r="1511" spans="1:37" s="189" customFormat="1" ht="12" customHeight="1" x14ac:dyDescent="0.2">
      <c r="A1511" s="213"/>
      <c r="B1511" s="214"/>
      <c r="C1511" s="194" t="s">
        <v>63</v>
      </c>
      <c r="D1511" s="194"/>
      <c r="E1511" s="194"/>
      <c r="F1511" s="239"/>
      <c r="G1511" s="239"/>
      <c r="H1511" s="195"/>
      <c r="I1511" s="195"/>
      <c r="J1511" s="195"/>
      <c r="K1511" s="195"/>
      <c r="L1511" s="196"/>
      <c r="M1511" s="195"/>
      <c r="N1511" s="196">
        <v>51.35</v>
      </c>
      <c r="O1511" s="210"/>
      <c r="P1511" s="215">
        <f>AJ1511*AK1511</f>
        <v>5349.4894438082101</v>
      </c>
      <c r="V1511" s="190"/>
      <c r="W1511" s="191"/>
      <c r="AB1511" s="191" t="s">
        <v>63</v>
      </c>
      <c r="AD1511" s="191"/>
      <c r="AF1511" s="191"/>
      <c r="AJ1511" s="189">
        <v>2.8622201411493902</v>
      </c>
      <c r="AK1511" s="198">
        <v>1869</v>
      </c>
    </row>
    <row r="1512" spans="1:37" s="189" customFormat="1" ht="12" customHeight="1" x14ac:dyDescent="0.2">
      <c r="A1512" s="192">
        <v>391</v>
      </c>
      <c r="B1512" s="193" t="s">
        <v>340</v>
      </c>
      <c r="C1512" s="194" t="s">
        <v>341</v>
      </c>
      <c r="D1512" s="194"/>
      <c r="E1512" s="194"/>
      <c r="F1512" s="238"/>
      <c r="G1512" s="238"/>
      <c r="H1512" s="195" t="s">
        <v>55</v>
      </c>
      <c r="I1512" s="195"/>
      <c r="J1512" s="195"/>
      <c r="K1512" s="216">
        <f>0.86*2.14</f>
        <v>1.8404</v>
      </c>
      <c r="L1512" s="196"/>
      <c r="M1512" s="195"/>
      <c r="N1512" s="196"/>
      <c r="O1512" s="195"/>
      <c r="P1512" s="197"/>
      <c r="V1512" s="190"/>
      <c r="W1512" s="191" t="s">
        <v>341</v>
      </c>
      <c r="AB1512" s="191"/>
      <c r="AD1512" s="191"/>
      <c r="AF1512" s="191"/>
      <c r="AJ1512" s="189">
        <v>2.8622201411493902</v>
      </c>
      <c r="AK1512" s="198"/>
    </row>
    <row r="1513" spans="1:37" s="189" customFormat="1" ht="12" customHeight="1" x14ac:dyDescent="0.2">
      <c r="A1513" s="199"/>
      <c r="B1513" s="200"/>
      <c r="C1513" s="243" t="s">
        <v>342</v>
      </c>
      <c r="D1513" s="243"/>
      <c r="E1513" s="243"/>
      <c r="F1513" s="243"/>
      <c r="G1513" s="243"/>
      <c r="H1513" s="243"/>
      <c r="I1513" s="243"/>
      <c r="J1513" s="243"/>
      <c r="K1513" s="243"/>
      <c r="L1513" s="243"/>
      <c r="M1513" s="243"/>
      <c r="N1513" s="243"/>
      <c r="O1513" s="232"/>
      <c r="P1513" s="291"/>
      <c r="V1513" s="190"/>
      <c r="W1513" s="191"/>
      <c r="X1513" s="203" t="s">
        <v>343</v>
      </c>
      <c r="AB1513" s="191"/>
      <c r="AD1513" s="191"/>
      <c r="AF1513" s="191"/>
      <c r="AJ1513" s="189">
        <v>2.8622201411493902</v>
      </c>
    </row>
    <row r="1514" spans="1:37" s="189" customFormat="1" ht="12" customHeight="1" x14ac:dyDescent="0.2">
      <c r="A1514" s="204"/>
      <c r="B1514" s="205" t="s">
        <v>52</v>
      </c>
      <c r="C1514" s="201" t="s">
        <v>328</v>
      </c>
      <c r="D1514" s="201"/>
      <c r="E1514" s="201"/>
      <c r="F1514" s="233"/>
      <c r="G1514" s="233"/>
      <c r="H1514" s="206"/>
      <c r="I1514" s="206"/>
      <c r="J1514" s="206"/>
      <c r="K1514" s="206"/>
      <c r="L1514" s="207">
        <v>531.71</v>
      </c>
      <c r="M1514" s="206"/>
      <c r="N1514" s="207">
        <v>29.24</v>
      </c>
      <c r="O1514" s="206" t="s">
        <v>329</v>
      </c>
      <c r="P1514" s="248">
        <f>AJ1514*AK1514</f>
        <v>3045.4022301829509</v>
      </c>
      <c r="V1514" s="190"/>
      <c r="W1514" s="191"/>
      <c r="Y1514" s="203" t="s">
        <v>328</v>
      </c>
      <c r="AB1514" s="191"/>
      <c r="AD1514" s="191"/>
      <c r="AF1514" s="191"/>
      <c r="AJ1514" s="189">
        <v>2.8622201411493902</v>
      </c>
      <c r="AK1514" s="208">
        <v>1064</v>
      </c>
    </row>
    <row r="1515" spans="1:37" s="189" customFormat="1" ht="12" customHeight="1" x14ac:dyDescent="0.2">
      <c r="A1515" s="204"/>
      <c r="B1515" s="205" t="s">
        <v>64</v>
      </c>
      <c r="C1515" s="201" t="s">
        <v>344</v>
      </c>
      <c r="D1515" s="201"/>
      <c r="E1515" s="201"/>
      <c r="F1515" s="233"/>
      <c r="G1515" s="233"/>
      <c r="H1515" s="206"/>
      <c r="I1515" s="206"/>
      <c r="J1515" s="206"/>
      <c r="K1515" s="206"/>
      <c r="L1515" s="207">
        <v>42.88</v>
      </c>
      <c r="M1515" s="206"/>
      <c r="N1515" s="207">
        <v>2.36</v>
      </c>
      <c r="O1515" s="206" t="s">
        <v>345</v>
      </c>
      <c r="P1515" s="248">
        <f>AJ1515*AK1515</f>
        <v>74.41772366988414</v>
      </c>
      <c r="V1515" s="190"/>
      <c r="W1515" s="191"/>
      <c r="Y1515" s="203" t="s">
        <v>344</v>
      </c>
      <c r="AB1515" s="191"/>
      <c r="AD1515" s="191"/>
      <c r="AF1515" s="191"/>
      <c r="AJ1515" s="189">
        <v>2.8622201411493902</v>
      </c>
      <c r="AK1515" s="208">
        <v>26</v>
      </c>
    </row>
    <row r="1516" spans="1:37" s="189" customFormat="1" ht="12" customHeight="1" x14ac:dyDescent="0.2">
      <c r="A1516" s="204"/>
      <c r="B1516" s="205" t="s">
        <v>68</v>
      </c>
      <c r="C1516" s="201" t="s">
        <v>346</v>
      </c>
      <c r="D1516" s="201"/>
      <c r="E1516" s="201"/>
      <c r="F1516" s="233"/>
      <c r="G1516" s="233"/>
      <c r="H1516" s="206"/>
      <c r="I1516" s="206"/>
      <c r="J1516" s="206"/>
      <c r="K1516" s="206"/>
      <c r="L1516" s="207">
        <v>17.05</v>
      </c>
      <c r="M1516" s="206"/>
      <c r="N1516" s="207">
        <v>0.94</v>
      </c>
      <c r="O1516" s="206" t="s">
        <v>329</v>
      </c>
      <c r="P1516" s="248">
        <f>AJ1516*AK1516</f>
        <v>97.315484799079272</v>
      </c>
      <c r="V1516" s="190"/>
      <c r="W1516" s="191"/>
      <c r="Y1516" s="203" t="s">
        <v>346</v>
      </c>
      <c r="AB1516" s="191"/>
      <c r="AD1516" s="191"/>
      <c r="AF1516" s="191"/>
      <c r="AJ1516" s="189">
        <v>2.8622201411493902</v>
      </c>
      <c r="AK1516" s="208">
        <v>34</v>
      </c>
    </row>
    <row r="1517" spans="1:37" s="189" customFormat="1" ht="12" customHeight="1" x14ac:dyDescent="0.2">
      <c r="A1517" s="204"/>
      <c r="B1517" s="205"/>
      <c r="C1517" s="201" t="s">
        <v>330</v>
      </c>
      <c r="D1517" s="201"/>
      <c r="E1517" s="201"/>
      <c r="F1517" s="233"/>
      <c r="G1517" s="233"/>
      <c r="H1517" s="206" t="s">
        <v>331</v>
      </c>
      <c r="I1517" s="206" t="s">
        <v>347</v>
      </c>
      <c r="J1517" s="206"/>
      <c r="K1517" s="206" t="s">
        <v>348</v>
      </c>
      <c r="L1517" s="207"/>
      <c r="M1517" s="206"/>
      <c r="N1517" s="207"/>
      <c r="O1517" s="206"/>
      <c r="P1517" s="248"/>
      <c r="V1517" s="190"/>
      <c r="W1517" s="191"/>
      <c r="Z1517" s="203" t="s">
        <v>330</v>
      </c>
      <c r="AB1517" s="191"/>
      <c r="AD1517" s="191"/>
      <c r="AF1517" s="191"/>
      <c r="AJ1517" s="189">
        <v>2.8622201411493902</v>
      </c>
      <c r="AK1517" s="208"/>
    </row>
    <row r="1518" spans="1:37" s="189" customFormat="1" ht="12" customHeight="1" x14ac:dyDescent="0.2">
      <c r="A1518" s="204"/>
      <c r="B1518" s="205"/>
      <c r="C1518" s="201" t="s">
        <v>349</v>
      </c>
      <c r="D1518" s="201"/>
      <c r="E1518" s="201"/>
      <c r="F1518" s="233"/>
      <c r="G1518" s="233"/>
      <c r="H1518" s="206" t="s">
        <v>331</v>
      </c>
      <c r="I1518" s="206" t="s">
        <v>350</v>
      </c>
      <c r="J1518" s="206"/>
      <c r="K1518" s="206" t="s">
        <v>351</v>
      </c>
      <c r="L1518" s="207"/>
      <c r="M1518" s="206"/>
      <c r="N1518" s="207"/>
      <c r="O1518" s="206"/>
      <c r="P1518" s="248"/>
      <c r="V1518" s="190"/>
      <c r="W1518" s="191"/>
      <c r="Z1518" s="203" t="s">
        <v>349</v>
      </c>
      <c r="AB1518" s="191"/>
      <c r="AD1518" s="191"/>
      <c r="AF1518" s="191"/>
      <c r="AJ1518" s="189">
        <v>2.8622201411493902</v>
      </c>
      <c r="AK1518" s="208"/>
    </row>
    <row r="1519" spans="1:37" s="189" customFormat="1" ht="12" customHeight="1" x14ac:dyDescent="0.2">
      <c r="A1519" s="204"/>
      <c r="B1519" s="205"/>
      <c r="C1519" s="209" t="s">
        <v>334</v>
      </c>
      <c r="D1519" s="209"/>
      <c r="E1519" s="209"/>
      <c r="F1519" s="236"/>
      <c r="G1519" s="236"/>
      <c r="H1519" s="210"/>
      <c r="I1519" s="210"/>
      <c r="J1519" s="210"/>
      <c r="K1519" s="210"/>
      <c r="L1519" s="211">
        <v>574.59</v>
      </c>
      <c r="M1519" s="210"/>
      <c r="N1519" s="211">
        <v>31.6</v>
      </c>
      <c r="O1519" s="210"/>
      <c r="P1519" s="197"/>
      <c r="V1519" s="190"/>
      <c r="W1519" s="191"/>
      <c r="AA1519" s="203" t="s">
        <v>334</v>
      </c>
      <c r="AB1519" s="191"/>
      <c r="AD1519" s="191"/>
      <c r="AF1519" s="191"/>
      <c r="AJ1519" s="189">
        <v>2.8622201411493902</v>
      </c>
      <c r="AK1519" s="212"/>
    </row>
    <row r="1520" spans="1:37" s="189" customFormat="1" ht="12" customHeight="1" x14ac:dyDescent="0.2">
      <c r="A1520" s="204"/>
      <c r="B1520" s="205"/>
      <c r="C1520" s="201" t="s">
        <v>57</v>
      </c>
      <c r="D1520" s="201"/>
      <c r="E1520" s="201"/>
      <c r="F1520" s="233"/>
      <c r="G1520" s="233"/>
      <c r="H1520" s="206"/>
      <c r="I1520" s="206"/>
      <c r="J1520" s="206"/>
      <c r="K1520" s="206"/>
      <c r="L1520" s="207"/>
      <c r="M1520" s="206"/>
      <c r="N1520" s="207">
        <v>30.18</v>
      </c>
      <c r="O1520" s="206"/>
      <c r="P1520" s="248">
        <f>AJ1520*AK1520</f>
        <v>3142.7177149820304</v>
      </c>
      <c r="V1520" s="190"/>
      <c r="W1520" s="191"/>
      <c r="Z1520" s="203" t="s">
        <v>57</v>
      </c>
      <c r="AB1520" s="191"/>
      <c r="AD1520" s="191"/>
      <c r="AF1520" s="191"/>
      <c r="AJ1520" s="189">
        <v>2.8622201411493902</v>
      </c>
      <c r="AK1520" s="208">
        <v>1098</v>
      </c>
    </row>
    <row r="1521" spans="1:37" s="189" customFormat="1" ht="12" customHeight="1" x14ac:dyDescent="0.2">
      <c r="A1521" s="204"/>
      <c r="B1521" s="205" t="s">
        <v>352</v>
      </c>
      <c r="C1521" s="201" t="s">
        <v>164</v>
      </c>
      <c r="D1521" s="201"/>
      <c r="E1521" s="201"/>
      <c r="F1521" s="233"/>
      <c r="G1521" s="233"/>
      <c r="H1521" s="206" t="s">
        <v>60</v>
      </c>
      <c r="I1521" s="206" t="s">
        <v>353</v>
      </c>
      <c r="J1521" s="206"/>
      <c r="K1521" s="206" t="s">
        <v>353</v>
      </c>
      <c r="L1521" s="207"/>
      <c r="M1521" s="206"/>
      <c r="N1521" s="207">
        <v>26.86</v>
      </c>
      <c r="O1521" s="206"/>
      <c r="P1521" s="248">
        <f>AJ1521*AK1521</f>
        <v>2796.3890779029543</v>
      </c>
      <c r="V1521" s="190"/>
      <c r="W1521" s="191"/>
      <c r="Z1521" s="203" t="s">
        <v>164</v>
      </c>
      <c r="AB1521" s="191"/>
      <c r="AD1521" s="191"/>
      <c r="AF1521" s="191"/>
      <c r="AJ1521" s="189">
        <v>2.8622201411493902</v>
      </c>
      <c r="AK1521" s="208">
        <v>977</v>
      </c>
    </row>
    <row r="1522" spans="1:37" s="189" customFormat="1" ht="12" customHeight="1" x14ac:dyDescent="0.2">
      <c r="A1522" s="204"/>
      <c r="B1522" s="205" t="s">
        <v>354</v>
      </c>
      <c r="C1522" s="201" t="s">
        <v>166</v>
      </c>
      <c r="D1522" s="201"/>
      <c r="E1522" s="201"/>
      <c r="F1522" s="233"/>
      <c r="G1522" s="233"/>
      <c r="H1522" s="206" t="s">
        <v>60</v>
      </c>
      <c r="I1522" s="206" t="s">
        <v>248</v>
      </c>
      <c r="J1522" s="206"/>
      <c r="K1522" s="206" t="s">
        <v>248</v>
      </c>
      <c r="L1522" s="240"/>
      <c r="M1522" s="241"/>
      <c r="N1522" s="207">
        <v>14.79</v>
      </c>
      <c r="O1522" s="206"/>
      <c r="P1522" s="248">
        <f>AJ1522*AK1522</f>
        <v>1539.874435938372</v>
      </c>
      <c r="V1522" s="190"/>
      <c r="W1522" s="191"/>
      <c r="Z1522" s="203" t="s">
        <v>166</v>
      </c>
      <c r="AB1522" s="191"/>
      <c r="AD1522" s="191"/>
      <c r="AF1522" s="191"/>
      <c r="AJ1522" s="189">
        <v>2.8622201411493902</v>
      </c>
      <c r="AK1522" s="208">
        <v>538</v>
      </c>
    </row>
    <row r="1523" spans="1:37" s="189" customFormat="1" ht="12" customHeight="1" x14ac:dyDescent="0.2">
      <c r="A1523" s="213"/>
      <c r="B1523" s="214"/>
      <c r="C1523" s="194" t="s">
        <v>63</v>
      </c>
      <c r="D1523" s="194"/>
      <c r="E1523" s="194"/>
      <c r="F1523" s="237"/>
      <c r="G1523" s="237"/>
      <c r="H1523" s="195"/>
      <c r="I1523" s="195"/>
      <c r="J1523" s="196"/>
      <c r="K1523" s="195"/>
      <c r="N1523" s="196">
        <v>73.25</v>
      </c>
      <c r="O1523" s="210"/>
      <c r="P1523" s="215">
        <f>AJ1523*AK1523</f>
        <v>7456.0834676941613</v>
      </c>
      <c r="V1523" s="190"/>
      <c r="W1523" s="191"/>
      <c r="AB1523" s="191" t="s">
        <v>63</v>
      </c>
      <c r="AD1523" s="191"/>
      <c r="AF1523" s="191"/>
      <c r="AJ1523" s="189">
        <v>2.8622201411493902</v>
      </c>
      <c r="AK1523" s="198">
        <v>2605</v>
      </c>
    </row>
    <row r="1524" spans="1:37" s="189" customFormat="1" ht="12" customHeight="1" x14ac:dyDescent="0.2">
      <c r="A1524" s="192">
        <v>392</v>
      </c>
      <c r="B1524" s="193" t="s">
        <v>355</v>
      </c>
      <c r="C1524" s="194" t="s">
        <v>356</v>
      </c>
      <c r="D1524" s="194"/>
      <c r="E1524" s="194"/>
      <c r="F1524" s="236"/>
      <c r="G1524" s="236"/>
      <c r="H1524" s="195" t="s">
        <v>55</v>
      </c>
      <c r="I1524" s="195"/>
      <c r="J1524" s="195"/>
      <c r="K1524" s="216">
        <f>0.86*2.14</f>
        <v>1.8404</v>
      </c>
      <c r="L1524" s="196"/>
      <c r="M1524" s="195"/>
      <c r="N1524" s="196"/>
      <c r="O1524" s="195"/>
      <c r="P1524" s="197"/>
      <c r="V1524" s="190"/>
      <c r="W1524" s="191" t="s">
        <v>356</v>
      </c>
      <c r="AB1524" s="191"/>
      <c r="AD1524" s="191"/>
      <c r="AF1524" s="191"/>
      <c r="AJ1524" s="189">
        <v>2.8622201411493902</v>
      </c>
      <c r="AK1524" s="198"/>
    </row>
    <row r="1525" spans="1:37" s="189" customFormat="1" ht="12" customHeight="1" x14ac:dyDescent="0.2">
      <c r="A1525" s="217"/>
      <c r="B1525" s="205"/>
      <c r="C1525" s="201" t="s">
        <v>357</v>
      </c>
      <c r="D1525" s="201"/>
      <c r="E1525" s="201"/>
      <c r="F1525" s="201"/>
      <c r="G1525" s="201"/>
      <c r="H1525" s="201"/>
      <c r="I1525" s="201"/>
      <c r="J1525" s="201"/>
      <c r="K1525" s="201"/>
      <c r="L1525" s="201"/>
      <c r="M1525" s="201"/>
      <c r="N1525" s="201"/>
      <c r="P1525" s="288"/>
      <c r="V1525" s="190"/>
      <c r="W1525" s="191"/>
      <c r="AB1525" s="191"/>
      <c r="AC1525" s="203" t="s">
        <v>357</v>
      </c>
      <c r="AD1525" s="191"/>
      <c r="AF1525" s="191"/>
      <c r="AJ1525" s="189">
        <v>2.8622201411493902</v>
      </c>
    </row>
    <row r="1526" spans="1:37" s="189" customFormat="1" ht="12" customHeight="1" x14ac:dyDescent="0.2">
      <c r="A1526" s="204"/>
      <c r="B1526" s="205" t="s">
        <v>52</v>
      </c>
      <c r="C1526" s="201" t="s">
        <v>328</v>
      </c>
      <c r="D1526" s="201"/>
      <c r="E1526" s="201"/>
      <c r="F1526" s="233"/>
      <c r="G1526" s="233"/>
      <c r="H1526" s="206"/>
      <c r="I1526" s="206"/>
      <c r="J1526" s="206"/>
      <c r="K1526" s="206"/>
      <c r="L1526" s="207">
        <v>846.23</v>
      </c>
      <c r="M1526" s="206" t="s">
        <v>358</v>
      </c>
      <c r="N1526" s="207">
        <v>13.96</v>
      </c>
      <c r="O1526" s="206" t="s">
        <v>329</v>
      </c>
      <c r="P1526" s="248">
        <f>AJ1526*AK1526</f>
        <v>1454.0078317038901</v>
      </c>
      <c r="V1526" s="190"/>
      <c r="W1526" s="191"/>
      <c r="Y1526" s="203" t="s">
        <v>328</v>
      </c>
      <c r="AB1526" s="191"/>
      <c r="AD1526" s="191"/>
      <c r="AF1526" s="191"/>
      <c r="AJ1526" s="189">
        <v>2.8622201411493902</v>
      </c>
      <c r="AK1526" s="208">
        <v>508</v>
      </c>
    </row>
    <row r="1527" spans="1:37" s="189" customFormat="1" ht="12" customHeight="1" x14ac:dyDescent="0.2">
      <c r="A1527" s="204"/>
      <c r="B1527" s="205" t="s">
        <v>64</v>
      </c>
      <c r="C1527" s="201" t="s">
        <v>344</v>
      </c>
      <c r="D1527" s="201"/>
      <c r="E1527" s="201"/>
      <c r="F1527" s="233"/>
      <c r="G1527" s="233"/>
      <c r="H1527" s="206"/>
      <c r="I1527" s="206"/>
      <c r="J1527" s="206"/>
      <c r="K1527" s="206"/>
      <c r="L1527" s="207">
        <v>741.34</v>
      </c>
      <c r="M1527" s="206" t="s">
        <v>358</v>
      </c>
      <c r="N1527" s="207">
        <v>12.23</v>
      </c>
      <c r="O1527" s="206" t="s">
        <v>345</v>
      </c>
      <c r="P1527" s="248">
        <f>AJ1527*AK1527</f>
        <v>377.81305863171951</v>
      </c>
      <c r="V1527" s="190"/>
      <c r="W1527" s="191"/>
      <c r="Y1527" s="203" t="s">
        <v>344</v>
      </c>
      <c r="AB1527" s="191"/>
      <c r="AD1527" s="191"/>
      <c r="AF1527" s="191"/>
      <c r="AJ1527" s="189">
        <v>2.8622201411493902</v>
      </c>
      <c r="AK1527" s="208">
        <v>132</v>
      </c>
    </row>
    <row r="1528" spans="1:37" s="189" customFormat="1" ht="12" customHeight="1" x14ac:dyDescent="0.2">
      <c r="A1528" s="204"/>
      <c r="B1528" s="205" t="s">
        <v>68</v>
      </c>
      <c r="C1528" s="201" t="s">
        <v>346</v>
      </c>
      <c r="D1528" s="201"/>
      <c r="E1528" s="201"/>
      <c r="F1528" s="233"/>
      <c r="G1528" s="233"/>
      <c r="H1528" s="206"/>
      <c r="I1528" s="206"/>
      <c r="J1528" s="206"/>
      <c r="K1528" s="206"/>
      <c r="L1528" s="207">
        <v>21.31</v>
      </c>
      <c r="M1528" s="206" t="s">
        <v>358</v>
      </c>
      <c r="N1528" s="207">
        <v>0.35</v>
      </c>
      <c r="O1528" s="206" t="s">
        <v>329</v>
      </c>
      <c r="P1528" s="248">
        <f>AJ1528*AK1528</f>
        <v>37.20886183494207</v>
      </c>
      <c r="V1528" s="190"/>
      <c r="W1528" s="191"/>
      <c r="Y1528" s="203" t="s">
        <v>346</v>
      </c>
      <c r="AB1528" s="191"/>
      <c r="AD1528" s="191"/>
      <c r="AF1528" s="191"/>
      <c r="AJ1528" s="189">
        <v>2.8622201411493902</v>
      </c>
      <c r="AK1528" s="208">
        <v>13</v>
      </c>
    </row>
    <row r="1529" spans="1:37" s="189" customFormat="1" ht="12" customHeight="1" x14ac:dyDescent="0.2">
      <c r="A1529" s="204"/>
      <c r="B1529" s="205"/>
      <c r="C1529" s="201" t="s">
        <v>330</v>
      </c>
      <c r="D1529" s="201"/>
      <c r="E1529" s="201"/>
      <c r="F1529" s="233"/>
      <c r="G1529" s="233"/>
      <c r="H1529" s="206" t="s">
        <v>331</v>
      </c>
      <c r="I1529" s="206" t="s">
        <v>359</v>
      </c>
      <c r="J1529" s="206" t="s">
        <v>358</v>
      </c>
      <c r="K1529" s="206">
        <v>1.7134799999999999</v>
      </c>
      <c r="L1529" s="207"/>
      <c r="M1529" s="206"/>
      <c r="N1529" s="207"/>
      <c r="O1529" s="206"/>
      <c r="P1529" s="248"/>
      <c r="V1529" s="190"/>
      <c r="W1529" s="191"/>
      <c r="Z1529" s="203" t="s">
        <v>330</v>
      </c>
      <c r="AB1529" s="191"/>
      <c r="AD1529" s="191"/>
      <c r="AF1529" s="191"/>
      <c r="AJ1529" s="189">
        <v>2.8622201411493902</v>
      </c>
      <c r="AK1529" s="208"/>
    </row>
    <row r="1530" spans="1:37" s="189" customFormat="1" ht="12" customHeight="1" x14ac:dyDescent="0.2">
      <c r="A1530" s="204"/>
      <c r="B1530" s="205"/>
      <c r="C1530" s="201" t="s">
        <v>349</v>
      </c>
      <c r="D1530" s="201"/>
      <c r="E1530" s="201"/>
      <c r="F1530" s="233"/>
      <c r="G1530" s="233"/>
      <c r="H1530" s="206" t="s">
        <v>331</v>
      </c>
      <c r="I1530" s="206">
        <v>1.71</v>
      </c>
      <c r="J1530" s="206" t="s">
        <v>358</v>
      </c>
      <c r="K1530" s="206" t="s">
        <v>360</v>
      </c>
      <c r="L1530" s="207"/>
      <c r="M1530" s="206"/>
      <c r="N1530" s="207"/>
      <c r="O1530" s="206"/>
      <c r="P1530" s="248"/>
      <c r="V1530" s="190"/>
      <c r="W1530" s="191"/>
      <c r="Z1530" s="203" t="s">
        <v>349</v>
      </c>
      <c r="AB1530" s="191"/>
      <c r="AD1530" s="191"/>
      <c r="AF1530" s="191"/>
      <c r="AJ1530" s="189">
        <v>2.8622201411493902</v>
      </c>
      <c r="AK1530" s="208"/>
    </row>
    <row r="1531" spans="1:37" s="189" customFormat="1" ht="12" customHeight="1" x14ac:dyDescent="0.2">
      <c r="A1531" s="204"/>
      <c r="B1531" s="205"/>
      <c r="C1531" s="209" t="s">
        <v>334</v>
      </c>
      <c r="D1531" s="209"/>
      <c r="E1531" s="209"/>
      <c r="F1531" s="236"/>
      <c r="G1531" s="236"/>
      <c r="H1531" s="210"/>
      <c r="I1531" s="210"/>
      <c r="J1531" s="210"/>
      <c r="K1531" s="210"/>
      <c r="L1531" s="211">
        <v>1587.57</v>
      </c>
      <c r="M1531" s="210"/>
      <c r="N1531" s="211">
        <v>26.19</v>
      </c>
      <c r="O1531" s="210"/>
      <c r="P1531" s="197"/>
      <c r="V1531" s="190"/>
      <c r="W1531" s="191"/>
      <c r="AA1531" s="203" t="s">
        <v>334</v>
      </c>
      <c r="AB1531" s="191"/>
      <c r="AD1531" s="191"/>
      <c r="AF1531" s="191"/>
      <c r="AJ1531" s="189">
        <v>2.8622201411493902</v>
      </c>
      <c r="AK1531" s="212"/>
    </row>
    <row r="1532" spans="1:37" s="189" customFormat="1" ht="12" customHeight="1" x14ac:dyDescent="0.2">
      <c r="A1532" s="204"/>
      <c r="B1532" s="205"/>
      <c r="C1532" s="201" t="s">
        <v>57</v>
      </c>
      <c r="D1532" s="201"/>
      <c r="E1532" s="201"/>
      <c r="F1532" s="233"/>
      <c r="G1532" s="233"/>
      <c r="H1532" s="206"/>
      <c r="I1532" s="206"/>
      <c r="J1532" s="206"/>
      <c r="K1532" s="206"/>
      <c r="L1532" s="207"/>
      <c r="M1532" s="206"/>
      <c r="N1532" s="207">
        <v>14.31</v>
      </c>
      <c r="O1532" s="206"/>
      <c r="P1532" s="248">
        <f>AJ1532*AK1532</f>
        <v>1491.2166935388323</v>
      </c>
      <c r="V1532" s="190"/>
      <c r="W1532" s="191"/>
      <c r="Z1532" s="203" t="s">
        <v>57</v>
      </c>
      <c r="AB1532" s="191"/>
      <c r="AD1532" s="191"/>
      <c r="AF1532" s="191"/>
      <c r="AJ1532" s="189">
        <v>2.8622201411493902</v>
      </c>
      <c r="AK1532" s="208">
        <v>521</v>
      </c>
    </row>
    <row r="1533" spans="1:37" s="189" customFormat="1" ht="12" customHeight="1" x14ac:dyDescent="0.2">
      <c r="A1533" s="204"/>
      <c r="B1533" s="205" t="s">
        <v>352</v>
      </c>
      <c r="C1533" s="201" t="s">
        <v>164</v>
      </c>
      <c r="D1533" s="201"/>
      <c r="E1533" s="201"/>
      <c r="F1533" s="233"/>
      <c r="G1533" s="233"/>
      <c r="H1533" s="206" t="s">
        <v>60</v>
      </c>
      <c r="I1533" s="206" t="s">
        <v>353</v>
      </c>
      <c r="J1533" s="206"/>
      <c r="K1533" s="206" t="s">
        <v>353</v>
      </c>
      <c r="L1533" s="207"/>
      <c r="M1533" s="206"/>
      <c r="N1533" s="207">
        <v>12.74</v>
      </c>
      <c r="O1533" s="206"/>
      <c r="P1533" s="248">
        <f>AJ1533*AK1533</f>
        <v>1328.0701454933171</v>
      </c>
      <c r="V1533" s="190"/>
      <c r="W1533" s="191"/>
      <c r="Z1533" s="203" t="s">
        <v>164</v>
      </c>
      <c r="AB1533" s="191"/>
      <c r="AD1533" s="191"/>
      <c r="AF1533" s="191"/>
      <c r="AJ1533" s="189">
        <v>2.8622201411493902</v>
      </c>
      <c r="AK1533" s="208">
        <v>464</v>
      </c>
    </row>
    <row r="1534" spans="1:37" s="189" customFormat="1" ht="12" customHeight="1" x14ac:dyDescent="0.2">
      <c r="A1534" s="204"/>
      <c r="B1534" s="205" t="s">
        <v>354</v>
      </c>
      <c r="C1534" s="201" t="s">
        <v>166</v>
      </c>
      <c r="D1534" s="201"/>
      <c r="E1534" s="201"/>
      <c r="F1534" s="233"/>
      <c r="G1534" s="233"/>
      <c r="H1534" s="206" t="s">
        <v>60</v>
      </c>
      <c r="I1534" s="206" t="s">
        <v>248</v>
      </c>
      <c r="J1534" s="206"/>
      <c r="K1534" s="206" t="s">
        <v>248</v>
      </c>
      <c r="L1534" s="207"/>
      <c r="M1534" s="206"/>
      <c r="N1534" s="207">
        <v>7.01</v>
      </c>
      <c r="O1534" s="206"/>
      <c r="P1534" s="248">
        <f>AJ1534*AK1534</f>
        <v>729.86613599309453</v>
      </c>
      <c r="V1534" s="190"/>
      <c r="W1534" s="191"/>
      <c r="Z1534" s="203" t="s">
        <v>166</v>
      </c>
      <c r="AB1534" s="191"/>
      <c r="AD1534" s="191"/>
      <c r="AF1534" s="191"/>
      <c r="AJ1534" s="189">
        <v>2.8622201411493902</v>
      </c>
      <c r="AK1534" s="208">
        <v>255</v>
      </c>
    </row>
    <row r="1535" spans="1:37" s="189" customFormat="1" ht="12" customHeight="1" x14ac:dyDescent="0.2">
      <c r="A1535" s="213"/>
      <c r="B1535" s="214"/>
      <c r="C1535" s="194" t="s">
        <v>63</v>
      </c>
      <c r="D1535" s="194"/>
      <c r="E1535" s="194"/>
      <c r="F1535" s="237"/>
      <c r="G1535" s="237"/>
      <c r="H1535" s="195"/>
      <c r="I1535" s="195"/>
      <c r="J1535" s="195"/>
      <c r="K1535" s="195"/>
      <c r="L1535" s="196"/>
      <c r="M1535" s="195"/>
      <c r="N1535" s="196">
        <v>45.94</v>
      </c>
      <c r="O1535" s="210"/>
      <c r="P1535" s="215">
        <f>AJ1535*AK1535</f>
        <v>3889.7571718220211</v>
      </c>
      <c r="V1535" s="190"/>
      <c r="W1535" s="191"/>
      <c r="AB1535" s="191" t="s">
        <v>63</v>
      </c>
      <c r="AD1535" s="191"/>
      <c r="AF1535" s="191"/>
      <c r="AJ1535" s="189">
        <v>2.8622201411493902</v>
      </c>
      <c r="AK1535" s="198">
        <v>1359</v>
      </c>
    </row>
    <row r="1536" spans="1:37" s="189" customFormat="1" ht="12" customHeight="1" x14ac:dyDescent="0.2">
      <c r="A1536" s="192">
        <v>393</v>
      </c>
      <c r="B1536" s="193" t="s">
        <v>361</v>
      </c>
      <c r="C1536" s="194" t="s">
        <v>362</v>
      </c>
      <c r="D1536" s="194"/>
      <c r="E1536" s="194"/>
      <c r="F1536" s="236"/>
      <c r="G1536" s="236"/>
      <c r="H1536" s="195" t="s">
        <v>55</v>
      </c>
      <c r="I1536" s="195"/>
      <c r="J1536" s="195"/>
      <c r="K1536" s="195">
        <v>9.6000000000000002E-2</v>
      </c>
      <c r="L1536" s="196"/>
      <c r="M1536" s="195"/>
      <c r="N1536" s="196"/>
      <c r="O1536" s="195"/>
      <c r="P1536" s="197"/>
      <c r="V1536" s="190"/>
      <c r="W1536" s="191" t="s">
        <v>362</v>
      </c>
      <c r="AB1536" s="191"/>
      <c r="AD1536" s="191"/>
      <c r="AF1536" s="191"/>
      <c r="AJ1536" s="189">
        <v>2.8622201411493902</v>
      </c>
      <c r="AK1536" s="198"/>
    </row>
    <row r="1537" spans="1:37" s="189" customFormat="1" ht="12" customHeight="1" x14ac:dyDescent="0.2">
      <c r="A1537" s="199"/>
      <c r="B1537" s="200"/>
      <c r="C1537" s="201" t="s">
        <v>363</v>
      </c>
      <c r="D1537" s="201"/>
      <c r="E1537" s="201"/>
      <c r="F1537" s="201"/>
      <c r="G1537" s="201"/>
      <c r="H1537" s="201"/>
      <c r="I1537" s="201"/>
      <c r="J1537" s="201"/>
      <c r="K1537" s="201"/>
      <c r="L1537" s="201"/>
      <c r="M1537" s="201"/>
      <c r="N1537" s="201"/>
      <c r="P1537" s="288"/>
      <c r="V1537" s="190"/>
      <c r="W1537" s="191"/>
      <c r="X1537" s="203" t="s">
        <v>364</v>
      </c>
      <c r="AB1537" s="191"/>
      <c r="AD1537" s="191"/>
      <c r="AF1537" s="191"/>
      <c r="AJ1537" s="189">
        <v>2.8622201411493902</v>
      </c>
    </row>
    <row r="1538" spans="1:37" s="189" customFormat="1" ht="12" customHeight="1" x14ac:dyDescent="0.2">
      <c r="A1538" s="204"/>
      <c r="B1538" s="205" t="s">
        <v>52</v>
      </c>
      <c r="C1538" s="201" t="s">
        <v>328</v>
      </c>
      <c r="D1538" s="201"/>
      <c r="E1538" s="201"/>
      <c r="F1538" s="233"/>
      <c r="G1538" s="233"/>
      <c r="H1538" s="206"/>
      <c r="I1538" s="206"/>
      <c r="J1538" s="206"/>
      <c r="K1538" s="206"/>
      <c r="L1538" s="207">
        <v>522.33000000000004</v>
      </c>
      <c r="M1538" s="206"/>
      <c r="N1538" s="207">
        <v>64.98</v>
      </c>
      <c r="O1538" s="206" t="s">
        <v>329</v>
      </c>
      <c r="P1538" s="248">
        <f>AJ1538*AK1538</f>
        <v>6766.2884136771581</v>
      </c>
      <c r="V1538" s="190"/>
      <c r="W1538" s="191"/>
      <c r="Y1538" s="203" t="s">
        <v>328</v>
      </c>
      <c r="AB1538" s="191"/>
      <c r="AD1538" s="191"/>
      <c r="AF1538" s="191"/>
      <c r="AJ1538" s="189">
        <v>2.8622201411493902</v>
      </c>
      <c r="AK1538" s="208">
        <v>2364</v>
      </c>
    </row>
    <row r="1539" spans="1:37" s="189" customFormat="1" ht="12" customHeight="1" x14ac:dyDescent="0.2">
      <c r="A1539" s="204"/>
      <c r="B1539" s="205" t="s">
        <v>64</v>
      </c>
      <c r="C1539" s="201" t="s">
        <v>344</v>
      </c>
      <c r="D1539" s="201"/>
      <c r="E1539" s="201"/>
      <c r="F1539" s="233"/>
      <c r="G1539" s="233"/>
      <c r="H1539" s="206"/>
      <c r="I1539" s="206"/>
      <c r="J1539" s="206"/>
      <c r="K1539" s="206"/>
      <c r="L1539" s="207">
        <v>69.17</v>
      </c>
      <c r="M1539" s="206"/>
      <c r="N1539" s="207">
        <v>8.6</v>
      </c>
      <c r="O1539" s="206" t="s">
        <v>345</v>
      </c>
      <c r="P1539" s="248">
        <f>AJ1539*AK1539</f>
        <v>266.1864731268933</v>
      </c>
      <c r="V1539" s="190"/>
      <c r="W1539" s="191"/>
      <c r="Y1539" s="203" t="s">
        <v>344</v>
      </c>
      <c r="AB1539" s="191"/>
      <c r="AD1539" s="191"/>
      <c r="AF1539" s="191"/>
      <c r="AJ1539" s="189">
        <v>2.8622201411493902</v>
      </c>
      <c r="AK1539" s="208">
        <v>93</v>
      </c>
    </row>
    <row r="1540" spans="1:37" s="189" customFormat="1" ht="12" customHeight="1" x14ac:dyDescent="0.2">
      <c r="A1540" s="204"/>
      <c r="B1540" s="205" t="s">
        <v>68</v>
      </c>
      <c r="C1540" s="201" t="s">
        <v>346</v>
      </c>
      <c r="D1540" s="201"/>
      <c r="E1540" s="201"/>
      <c r="F1540" s="233"/>
      <c r="G1540" s="233"/>
      <c r="H1540" s="206"/>
      <c r="I1540" s="206"/>
      <c r="J1540" s="206"/>
      <c r="K1540" s="206"/>
      <c r="L1540" s="207">
        <v>4.1399999999999997</v>
      </c>
      <c r="M1540" s="206"/>
      <c r="N1540" s="207">
        <v>0.52</v>
      </c>
      <c r="O1540" s="206" t="s">
        <v>329</v>
      </c>
      <c r="P1540" s="248">
        <f>AJ1540*AK1540</f>
        <v>54.382182681838415</v>
      </c>
      <c r="V1540" s="190"/>
      <c r="W1540" s="191"/>
      <c r="Y1540" s="203" t="s">
        <v>346</v>
      </c>
      <c r="AB1540" s="191"/>
      <c r="AD1540" s="191"/>
      <c r="AF1540" s="191"/>
      <c r="AJ1540" s="189">
        <v>2.8622201411493902</v>
      </c>
      <c r="AK1540" s="208">
        <v>19</v>
      </c>
    </row>
    <row r="1541" spans="1:37" s="189" customFormat="1" ht="12" customHeight="1" x14ac:dyDescent="0.2">
      <c r="A1541" s="204"/>
      <c r="B1541" s="205"/>
      <c r="C1541" s="201" t="s">
        <v>330</v>
      </c>
      <c r="D1541" s="201"/>
      <c r="E1541" s="201"/>
      <c r="F1541" s="233"/>
      <c r="G1541" s="233"/>
      <c r="H1541" s="206" t="s">
        <v>331</v>
      </c>
      <c r="I1541" s="206" t="s">
        <v>365</v>
      </c>
      <c r="J1541" s="206"/>
      <c r="K1541" s="206" t="s">
        <v>366</v>
      </c>
      <c r="L1541" s="207"/>
      <c r="M1541" s="206"/>
      <c r="N1541" s="207"/>
      <c r="O1541" s="206"/>
      <c r="P1541" s="248"/>
      <c r="V1541" s="190"/>
      <c r="W1541" s="191"/>
      <c r="Z1541" s="203" t="s">
        <v>330</v>
      </c>
      <c r="AB1541" s="191"/>
      <c r="AD1541" s="191"/>
      <c r="AF1541" s="191"/>
      <c r="AJ1541" s="189">
        <v>2.8622201411493902</v>
      </c>
      <c r="AK1541" s="208"/>
    </row>
    <row r="1542" spans="1:37" s="189" customFormat="1" ht="12" customHeight="1" x14ac:dyDescent="0.2">
      <c r="A1542" s="204"/>
      <c r="B1542" s="205"/>
      <c r="C1542" s="201" t="s">
        <v>349</v>
      </c>
      <c r="D1542" s="201"/>
      <c r="E1542" s="201"/>
      <c r="F1542" s="233"/>
      <c r="G1542" s="233"/>
      <c r="H1542" s="206" t="s">
        <v>331</v>
      </c>
      <c r="I1542" s="206" t="s">
        <v>367</v>
      </c>
      <c r="J1542" s="206"/>
      <c r="K1542" s="206" t="s">
        <v>368</v>
      </c>
      <c r="L1542" s="207"/>
      <c r="M1542" s="206"/>
      <c r="N1542" s="207"/>
      <c r="O1542" s="206"/>
      <c r="P1542" s="248"/>
      <c r="V1542" s="190"/>
      <c r="W1542" s="191"/>
      <c r="Z1542" s="203" t="s">
        <v>349</v>
      </c>
      <c r="AB1542" s="191"/>
      <c r="AD1542" s="191"/>
      <c r="AF1542" s="191"/>
      <c r="AJ1542" s="189">
        <v>2.8622201411493902</v>
      </c>
      <c r="AK1542" s="208"/>
    </row>
    <row r="1543" spans="1:37" s="189" customFormat="1" ht="12" customHeight="1" x14ac:dyDescent="0.2">
      <c r="A1543" s="204"/>
      <c r="B1543" s="205"/>
      <c r="C1543" s="209" t="s">
        <v>334</v>
      </c>
      <c r="D1543" s="209"/>
      <c r="E1543" s="209"/>
      <c r="F1543" s="236"/>
      <c r="G1543" s="236"/>
      <c r="H1543" s="210"/>
      <c r="I1543" s="210"/>
      <c r="J1543" s="210"/>
      <c r="K1543" s="210"/>
      <c r="L1543" s="211">
        <v>591.5</v>
      </c>
      <c r="M1543" s="210"/>
      <c r="N1543" s="211">
        <v>73.58</v>
      </c>
      <c r="O1543" s="210"/>
      <c r="P1543" s="197"/>
      <c r="V1543" s="190"/>
      <c r="W1543" s="191"/>
      <c r="AA1543" s="203" t="s">
        <v>334</v>
      </c>
      <c r="AB1543" s="191"/>
      <c r="AD1543" s="191"/>
      <c r="AF1543" s="191"/>
      <c r="AJ1543" s="189">
        <v>2.8622201411493902</v>
      </c>
      <c r="AK1543" s="212"/>
    </row>
    <row r="1544" spans="1:37" s="189" customFormat="1" ht="12" customHeight="1" x14ac:dyDescent="0.2">
      <c r="A1544" s="204"/>
      <c r="B1544" s="205"/>
      <c r="C1544" s="201" t="s">
        <v>57</v>
      </c>
      <c r="D1544" s="201"/>
      <c r="E1544" s="201"/>
      <c r="F1544" s="233"/>
      <c r="G1544" s="233"/>
      <c r="H1544" s="206"/>
      <c r="I1544" s="206"/>
      <c r="J1544" s="206"/>
      <c r="K1544" s="206"/>
      <c r="L1544" s="207"/>
      <c r="M1544" s="206"/>
      <c r="N1544" s="207">
        <v>65.5</v>
      </c>
      <c r="O1544" s="206"/>
      <c r="P1544" s="248">
        <f>AJ1544*AK1544</f>
        <v>6820.6705963589966</v>
      </c>
      <c r="V1544" s="190"/>
      <c r="W1544" s="191"/>
      <c r="Z1544" s="203" t="s">
        <v>57</v>
      </c>
      <c r="AB1544" s="191"/>
      <c r="AD1544" s="191"/>
      <c r="AF1544" s="191"/>
      <c r="AJ1544" s="189">
        <v>2.8622201411493902</v>
      </c>
      <c r="AK1544" s="208">
        <v>2383</v>
      </c>
    </row>
    <row r="1545" spans="1:37" s="189" customFormat="1" ht="12" customHeight="1" x14ac:dyDescent="0.2">
      <c r="A1545" s="204"/>
      <c r="B1545" s="205" t="s">
        <v>369</v>
      </c>
      <c r="C1545" s="201" t="s">
        <v>370</v>
      </c>
      <c r="D1545" s="201"/>
      <c r="E1545" s="201"/>
      <c r="F1545" s="233"/>
      <c r="G1545" s="233"/>
      <c r="H1545" s="206" t="s">
        <v>60</v>
      </c>
      <c r="I1545" s="206" t="s">
        <v>337</v>
      </c>
      <c r="J1545" s="206"/>
      <c r="K1545" s="206" t="s">
        <v>337</v>
      </c>
      <c r="L1545" s="207"/>
      <c r="M1545" s="206"/>
      <c r="N1545" s="207">
        <v>58.95</v>
      </c>
      <c r="O1545" s="206"/>
      <c r="P1545" s="248">
        <f>AJ1545*AK1545</f>
        <v>6139.4622027654423</v>
      </c>
      <c r="V1545" s="190"/>
      <c r="W1545" s="191"/>
      <c r="Z1545" s="203" t="s">
        <v>370</v>
      </c>
      <c r="AB1545" s="191"/>
      <c r="AD1545" s="191"/>
      <c r="AF1545" s="191"/>
      <c r="AJ1545" s="189">
        <v>2.8622201411493902</v>
      </c>
      <c r="AK1545" s="208">
        <v>2145</v>
      </c>
    </row>
    <row r="1546" spans="1:37" s="189" customFormat="1" ht="12" customHeight="1" x14ac:dyDescent="0.2">
      <c r="A1546" s="204"/>
      <c r="B1546" s="205" t="s">
        <v>371</v>
      </c>
      <c r="C1546" s="201" t="s">
        <v>372</v>
      </c>
      <c r="D1546" s="201"/>
      <c r="E1546" s="201"/>
      <c r="F1546" s="233"/>
      <c r="G1546" s="233"/>
      <c r="H1546" s="206" t="s">
        <v>60</v>
      </c>
      <c r="I1546" s="206" t="s">
        <v>235</v>
      </c>
      <c r="J1546" s="206"/>
      <c r="K1546" s="206" t="s">
        <v>235</v>
      </c>
      <c r="L1546" s="207"/>
      <c r="M1546" s="206"/>
      <c r="N1546" s="207">
        <v>29.48</v>
      </c>
      <c r="O1546" s="206"/>
      <c r="P1546" s="248">
        <f>AJ1546*AK1546</f>
        <v>3068.2999913121462</v>
      </c>
      <c r="V1546" s="190"/>
      <c r="W1546" s="191"/>
      <c r="Z1546" s="203" t="s">
        <v>372</v>
      </c>
      <c r="AB1546" s="191"/>
      <c r="AD1546" s="191"/>
      <c r="AF1546" s="191"/>
      <c r="AJ1546" s="189">
        <v>2.8622201411493902</v>
      </c>
      <c r="AK1546" s="208">
        <v>1072</v>
      </c>
    </row>
    <row r="1547" spans="1:37" s="189" customFormat="1" ht="12" customHeight="1" x14ac:dyDescent="0.2">
      <c r="A1547" s="213"/>
      <c r="B1547" s="214"/>
      <c r="C1547" s="194" t="s">
        <v>63</v>
      </c>
      <c r="D1547" s="194"/>
      <c r="E1547" s="194"/>
      <c r="F1547" s="237"/>
      <c r="G1547" s="237"/>
      <c r="H1547" s="195"/>
      <c r="I1547" s="195"/>
      <c r="J1547" s="195"/>
      <c r="K1547" s="195"/>
      <c r="L1547" s="196"/>
      <c r="M1547" s="195"/>
      <c r="N1547" s="196">
        <v>162.01</v>
      </c>
      <c r="O1547" s="210"/>
      <c r="P1547" s="215">
        <f>AJ1547*AK1547</f>
        <v>16240.237080881639</v>
      </c>
      <c r="V1547" s="190"/>
      <c r="W1547" s="191"/>
      <c r="AB1547" s="191" t="s">
        <v>63</v>
      </c>
      <c r="AD1547" s="191"/>
      <c r="AF1547" s="191"/>
      <c r="AJ1547" s="189">
        <v>2.8622201411493902</v>
      </c>
      <c r="AK1547" s="198">
        <v>5674</v>
      </c>
    </row>
    <row r="1548" spans="1:37" s="189" customFormat="1" ht="12" customHeight="1" x14ac:dyDescent="0.2">
      <c r="A1548" s="192">
        <v>394</v>
      </c>
      <c r="B1548" s="193" t="s">
        <v>373</v>
      </c>
      <c r="C1548" s="194" t="s">
        <v>374</v>
      </c>
      <c r="D1548" s="194"/>
      <c r="E1548" s="194"/>
      <c r="F1548" s="236"/>
      <c r="G1548" s="236"/>
      <c r="H1548" s="195" t="s">
        <v>55</v>
      </c>
      <c r="I1548" s="195"/>
      <c r="J1548" s="195"/>
      <c r="K1548" s="216">
        <v>0.18079999999999999</v>
      </c>
      <c r="L1548" s="196"/>
      <c r="M1548" s="195"/>
      <c r="N1548" s="196"/>
      <c r="O1548" s="195"/>
      <c r="P1548" s="197"/>
      <c r="V1548" s="190"/>
      <c r="W1548" s="191" t="s">
        <v>374</v>
      </c>
      <c r="AB1548" s="191"/>
      <c r="AD1548" s="191"/>
      <c r="AF1548" s="191"/>
      <c r="AJ1548" s="189">
        <v>2.8622201411493902</v>
      </c>
      <c r="AK1548" s="198"/>
    </row>
    <row r="1549" spans="1:37" s="189" customFormat="1" ht="12" customHeight="1" x14ac:dyDescent="0.2">
      <c r="A1549" s="199"/>
      <c r="B1549" s="200"/>
      <c r="C1549" s="201" t="s">
        <v>375</v>
      </c>
      <c r="D1549" s="201"/>
      <c r="E1549" s="201"/>
      <c r="F1549" s="233"/>
      <c r="G1549" s="233"/>
      <c r="H1549" s="230"/>
      <c r="I1549" s="230"/>
      <c r="J1549" s="230"/>
      <c r="K1549" s="230"/>
      <c r="L1549" s="230"/>
      <c r="M1549" s="230"/>
      <c r="N1549" s="230"/>
      <c r="O1549" s="230"/>
      <c r="P1549" s="289"/>
      <c r="V1549" s="190"/>
      <c r="W1549" s="191"/>
      <c r="X1549" s="203" t="s">
        <v>376</v>
      </c>
      <c r="AB1549" s="191"/>
      <c r="AD1549" s="191"/>
      <c r="AF1549" s="191"/>
      <c r="AJ1549" s="189">
        <v>2.8622201411493902</v>
      </c>
    </row>
    <row r="1550" spans="1:37" s="189" customFormat="1" ht="12" customHeight="1" x14ac:dyDescent="0.2">
      <c r="A1550" s="204"/>
      <c r="B1550" s="205" t="s">
        <v>52</v>
      </c>
      <c r="C1550" s="201" t="s">
        <v>328</v>
      </c>
      <c r="D1550" s="201"/>
      <c r="E1550" s="201"/>
      <c r="F1550" s="233"/>
      <c r="G1550" s="233"/>
      <c r="H1550" s="206"/>
      <c r="I1550" s="206"/>
      <c r="J1550" s="206"/>
      <c r="K1550" s="206"/>
      <c r="L1550" s="207">
        <v>159.06</v>
      </c>
      <c r="M1550" s="206"/>
      <c r="N1550" s="207">
        <v>40.74</v>
      </c>
      <c r="O1550" s="206" t="s">
        <v>329</v>
      </c>
      <c r="P1550" s="248">
        <f>AJ1550*AK1550</f>
        <v>4241.8102491833961</v>
      </c>
      <c r="V1550" s="190"/>
      <c r="W1550" s="191"/>
      <c r="Y1550" s="203" t="s">
        <v>328</v>
      </c>
      <c r="AB1550" s="191"/>
      <c r="AD1550" s="191"/>
      <c r="AF1550" s="191"/>
      <c r="AJ1550" s="189">
        <v>2.8622201411493902</v>
      </c>
      <c r="AK1550" s="208">
        <v>1482</v>
      </c>
    </row>
    <row r="1551" spans="1:37" s="189" customFormat="1" ht="12" customHeight="1" x14ac:dyDescent="0.2">
      <c r="A1551" s="204"/>
      <c r="B1551" s="205"/>
      <c r="C1551" s="201" t="s">
        <v>330</v>
      </c>
      <c r="D1551" s="201"/>
      <c r="E1551" s="201"/>
      <c r="F1551" s="233"/>
      <c r="G1551" s="233"/>
      <c r="H1551" s="206" t="s">
        <v>331</v>
      </c>
      <c r="I1551" s="206" t="s">
        <v>377</v>
      </c>
      <c r="J1551" s="206"/>
      <c r="K1551" s="206" t="s">
        <v>378</v>
      </c>
      <c r="L1551" s="207"/>
      <c r="M1551" s="206"/>
      <c r="N1551" s="207"/>
      <c r="O1551" s="206"/>
      <c r="P1551" s="248"/>
      <c r="V1551" s="190"/>
      <c r="W1551" s="191"/>
      <c r="Z1551" s="203" t="s">
        <v>330</v>
      </c>
      <c r="AB1551" s="191"/>
      <c r="AD1551" s="191"/>
      <c r="AF1551" s="191"/>
      <c r="AJ1551" s="189">
        <v>2.8622201411493902</v>
      </c>
      <c r="AK1551" s="208"/>
    </row>
    <row r="1552" spans="1:37" s="189" customFormat="1" ht="12" customHeight="1" x14ac:dyDescent="0.2">
      <c r="A1552" s="204"/>
      <c r="B1552" s="205"/>
      <c r="C1552" s="209" t="s">
        <v>334</v>
      </c>
      <c r="D1552" s="209"/>
      <c r="E1552" s="209"/>
      <c r="F1552" s="236"/>
      <c r="G1552" s="236"/>
      <c r="H1552" s="210"/>
      <c r="I1552" s="210"/>
      <c r="J1552" s="210"/>
      <c r="K1552" s="210"/>
      <c r="L1552" s="211">
        <v>159.06</v>
      </c>
      <c r="M1552" s="210"/>
      <c r="N1552" s="211">
        <v>40.74</v>
      </c>
      <c r="O1552" s="210"/>
      <c r="P1552" s="197"/>
      <c r="V1552" s="190"/>
      <c r="W1552" s="191"/>
      <c r="AA1552" s="203" t="s">
        <v>334</v>
      </c>
      <c r="AB1552" s="191"/>
      <c r="AD1552" s="191"/>
      <c r="AF1552" s="191"/>
      <c r="AJ1552" s="189">
        <v>2.8622201411493902</v>
      </c>
      <c r="AK1552" s="212"/>
    </row>
    <row r="1553" spans="1:37" s="189" customFormat="1" ht="12" customHeight="1" x14ac:dyDescent="0.2">
      <c r="A1553" s="204"/>
      <c r="B1553" s="205"/>
      <c r="C1553" s="201" t="s">
        <v>57</v>
      </c>
      <c r="D1553" s="201"/>
      <c r="E1553" s="201"/>
      <c r="F1553" s="233"/>
      <c r="G1553" s="233"/>
      <c r="H1553" s="206"/>
      <c r="I1553" s="206"/>
      <c r="J1553" s="206"/>
      <c r="K1553" s="206"/>
      <c r="L1553" s="207"/>
      <c r="M1553" s="206"/>
      <c r="N1553" s="207">
        <v>40.74</v>
      </c>
      <c r="O1553" s="206"/>
      <c r="P1553" s="248">
        <f>AJ1553*AK1553</f>
        <v>4241.8102491833961</v>
      </c>
      <c r="V1553" s="190"/>
      <c r="W1553" s="191"/>
      <c r="Z1553" s="203" t="s">
        <v>57</v>
      </c>
      <c r="AB1553" s="191"/>
      <c r="AD1553" s="191"/>
      <c r="AF1553" s="191"/>
      <c r="AJ1553" s="189">
        <v>2.8622201411493902</v>
      </c>
      <c r="AK1553" s="208">
        <v>1482</v>
      </c>
    </row>
    <row r="1554" spans="1:37" s="189" customFormat="1" ht="12" customHeight="1" x14ac:dyDescent="0.2">
      <c r="A1554" s="204"/>
      <c r="B1554" s="205" t="s">
        <v>379</v>
      </c>
      <c r="C1554" s="201" t="s">
        <v>380</v>
      </c>
      <c r="D1554" s="201"/>
      <c r="E1554" s="201"/>
      <c r="F1554" s="233"/>
      <c r="G1554" s="233"/>
      <c r="H1554" s="206" t="s">
        <v>60</v>
      </c>
      <c r="I1554" s="206" t="s">
        <v>381</v>
      </c>
      <c r="J1554" s="206"/>
      <c r="K1554" s="206" t="s">
        <v>381</v>
      </c>
      <c r="L1554" s="207"/>
      <c r="M1554" s="206"/>
      <c r="N1554" s="207">
        <v>41.96</v>
      </c>
      <c r="O1554" s="206"/>
      <c r="P1554" s="248">
        <f>AJ1554*AK1554</f>
        <v>4367.7479353939698</v>
      </c>
      <c r="V1554" s="190"/>
      <c r="W1554" s="191"/>
      <c r="Z1554" s="203" t="s">
        <v>380</v>
      </c>
      <c r="AB1554" s="191"/>
      <c r="AD1554" s="191"/>
      <c r="AF1554" s="191"/>
      <c r="AJ1554" s="189">
        <v>2.8622201411493902</v>
      </c>
      <c r="AK1554" s="208">
        <v>1526</v>
      </c>
    </row>
    <row r="1555" spans="1:37" s="189" customFormat="1" ht="12" customHeight="1" x14ac:dyDescent="0.2">
      <c r="A1555" s="204"/>
      <c r="B1555" s="205" t="s">
        <v>382</v>
      </c>
      <c r="C1555" s="201" t="s">
        <v>383</v>
      </c>
      <c r="D1555" s="201"/>
      <c r="E1555" s="201"/>
      <c r="F1555" s="233"/>
      <c r="G1555" s="233"/>
      <c r="H1555" s="206" t="s">
        <v>60</v>
      </c>
      <c r="I1555" s="206" t="s">
        <v>279</v>
      </c>
      <c r="J1555" s="206"/>
      <c r="K1555" s="206" t="s">
        <v>279</v>
      </c>
      <c r="L1555" s="207"/>
      <c r="M1555" s="206"/>
      <c r="N1555" s="207">
        <v>24.04</v>
      </c>
      <c r="O1555" s="206"/>
      <c r="P1555" s="248">
        <f>AJ1555*AK1555</f>
        <v>2501.5804033645668</v>
      </c>
      <c r="V1555" s="190"/>
      <c r="W1555" s="191"/>
      <c r="Z1555" s="203" t="s">
        <v>383</v>
      </c>
      <c r="AB1555" s="191"/>
      <c r="AD1555" s="191"/>
      <c r="AF1555" s="191"/>
      <c r="AJ1555" s="189">
        <v>2.8622201411493902</v>
      </c>
      <c r="AK1555" s="208">
        <v>874</v>
      </c>
    </row>
    <row r="1556" spans="1:37" s="189" customFormat="1" ht="12" customHeight="1" x14ac:dyDescent="0.2">
      <c r="A1556" s="213"/>
      <c r="B1556" s="214"/>
      <c r="C1556" s="194" t="s">
        <v>63</v>
      </c>
      <c r="D1556" s="194"/>
      <c r="E1556" s="194"/>
      <c r="F1556" s="237"/>
      <c r="G1556" s="237"/>
      <c r="H1556" s="195"/>
      <c r="I1556" s="195"/>
      <c r="J1556" s="195"/>
      <c r="K1556" s="195"/>
      <c r="L1556" s="196"/>
      <c r="M1556" s="195"/>
      <c r="N1556" s="196">
        <v>106.74</v>
      </c>
      <c r="O1556" s="210"/>
      <c r="P1556" s="215">
        <f>AJ1556*AK1556</f>
        <v>11111.138587941932</v>
      </c>
      <c r="V1556" s="190"/>
      <c r="W1556" s="191"/>
      <c r="AB1556" s="191" t="s">
        <v>63</v>
      </c>
      <c r="AD1556" s="191"/>
      <c r="AF1556" s="191"/>
      <c r="AJ1556" s="189">
        <v>2.8622201411493902</v>
      </c>
      <c r="AK1556" s="198">
        <v>3882</v>
      </c>
    </row>
    <row r="1557" spans="1:37" s="189" customFormat="1" ht="12" customHeight="1" x14ac:dyDescent="0.2">
      <c r="A1557" s="192">
        <v>395</v>
      </c>
      <c r="B1557" s="193" t="s">
        <v>384</v>
      </c>
      <c r="C1557" s="194" t="s">
        <v>385</v>
      </c>
      <c r="D1557" s="194"/>
      <c r="E1557" s="194"/>
      <c r="F1557" s="236"/>
      <c r="G1557" s="236"/>
      <c r="H1557" s="195" t="s">
        <v>75</v>
      </c>
      <c r="I1557" s="195"/>
      <c r="J1557" s="195"/>
      <c r="K1557" s="195">
        <v>0.01</v>
      </c>
      <c r="L1557" s="196"/>
      <c r="M1557" s="195"/>
      <c r="N1557" s="196"/>
      <c r="O1557" s="195"/>
      <c r="P1557" s="197"/>
      <c r="V1557" s="190"/>
      <c r="W1557" s="191" t="s">
        <v>385</v>
      </c>
      <c r="AB1557" s="191"/>
      <c r="AD1557" s="191"/>
      <c r="AF1557" s="191"/>
      <c r="AJ1557" s="189">
        <v>2.8622201411493902</v>
      </c>
      <c r="AK1557" s="198"/>
    </row>
    <row r="1558" spans="1:37" s="189" customFormat="1" ht="12" customHeight="1" x14ac:dyDescent="0.2">
      <c r="A1558" s="199"/>
      <c r="B1558" s="200"/>
      <c r="C1558" s="201" t="s">
        <v>386</v>
      </c>
      <c r="D1558" s="201"/>
      <c r="E1558" s="201"/>
      <c r="F1558" s="233"/>
      <c r="G1558" s="233"/>
      <c r="H1558" s="230"/>
      <c r="I1558" s="230"/>
      <c r="J1558" s="230"/>
      <c r="K1558" s="230"/>
      <c r="L1558" s="230"/>
      <c r="M1558" s="230"/>
      <c r="N1558" s="230"/>
      <c r="O1558" s="230"/>
      <c r="P1558" s="289"/>
      <c r="V1558" s="190"/>
      <c r="W1558" s="191"/>
      <c r="X1558" s="203" t="s">
        <v>387</v>
      </c>
      <c r="AB1558" s="191"/>
      <c r="AD1558" s="191"/>
      <c r="AF1558" s="191"/>
      <c r="AJ1558" s="189">
        <v>2.8622201411493902</v>
      </c>
    </row>
    <row r="1559" spans="1:37" s="189" customFormat="1" ht="12" customHeight="1" x14ac:dyDescent="0.2">
      <c r="A1559" s="204"/>
      <c r="B1559" s="205" t="s">
        <v>52</v>
      </c>
      <c r="C1559" s="201" t="s">
        <v>328</v>
      </c>
      <c r="D1559" s="201"/>
      <c r="E1559" s="201"/>
      <c r="F1559" s="233"/>
      <c r="G1559" s="233"/>
      <c r="H1559" s="206"/>
      <c r="I1559" s="206"/>
      <c r="J1559" s="206"/>
      <c r="K1559" s="206"/>
      <c r="L1559" s="207">
        <v>44.05</v>
      </c>
      <c r="M1559" s="206"/>
      <c r="N1559" s="207">
        <v>0.88</v>
      </c>
      <c r="O1559" s="206" t="s">
        <v>329</v>
      </c>
      <c r="P1559" s="248">
        <f>AJ1559*AK1559</f>
        <v>91.591044516780485</v>
      </c>
      <c r="V1559" s="190"/>
      <c r="W1559" s="191"/>
      <c r="Y1559" s="203" t="s">
        <v>328</v>
      </c>
      <c r="AB1559" s="191"/>
      <c r="AD1559" s="191"/>
      <c r="AF1559" s="191"/>
      <c r="AJ1559" s="189">
        <v>2.8622201411493902</v>
      </c>
      <c r="AK1559" s="208">
        <v>32</v>
      </c>
    </row>
    <row r="1560" spans="1:37" s="189" customFormat="1" ht="12" customHeight="1" x14ac:dyDescent="0.2">
      <c r="A1560" s="204"/>
      <c r="B1560" s="205" t="s">
        <v>64</v>
      </c>
      <c r="C1560" s="201" t="s">
        <v>344</v>
      </c>
      <c r="D1560" s="201"/>
      <c r="E1560" s="201"/>
      <c r="F1560" s="233"/>
      <c r="G1560" s="233"/>
      <c r="H1560" s="206"/>
      <c r="I1560" s="206"/>
      <c r="J1560" s="206"/>
      <c r="K1560" s="206"/>
      <c r="L1560" s="207">
        <v>0.89</v>
      </c>
      <c r="M1560" s="206"/>
      <c r="N1560" s="207">
        <v>0.02</v>
      </c>
      <c r="O1560" s="206" t="s">
        <v>345</v>
      </c>
      <c r="P1560" s="248"/>
      <c r="V1560" s="190"/>
      <c r="W1560" s="191"/>
      <c r="Y1560" s="203" t="s">
        <v>344</v>
      </c>
      <c r="AB1560" s="191"/>
      <c r="AD1560" s="191"/>
      <c r="AF1560" s="191"/>
      <c r="AJ1560" s="189">
        <v>2.8622201411493902</v>
      </c>
      <c r="AK1560" s="208"/>
    </row>
    <row r="1561" spans="1:37" s="189" customFormat="1" ht="12" customHeight="1" x14ac:dyDescent="0.2">
      <c r="A1561" s="204"/>
      <c r="B1561" s="205" t="s">
        <v>68</v>
      </c>
      <c r="C1561" s="201" t="s">
        <v>346</v>
      </c>
      <c r="D1561" s="201"/>
      <c r="E1561" s="201"/>
      <c r="F1561" s="233"/>
      <c r="G1561" s="233"/>
      <c r="H1561" s="206"/>
      <c r="I1561" s="206"/>
      <c r="J1561" s="206"/>
      <c r="K1561" s="206"/>
      <c r="L1561" s="207">
        <v>0.36</v>
      </c>
      <c r="M1561" s="206"/>
      <c r="N1561" s="207">
        <v>0.01</v>
      </c>
      <c r="O1561" s="206" t="s">
        <v>329</v>
      </c>
      <c r="P1561" s="248"/>
      <c r="V1561" s="190"/>
      <c r="W1561" s="191"/>
      <c r="Y1561" s="203" t="s">
        <v>346</v>
      </c>
      <c r="AB1561" s="191"/>
      <c r="AD1561" s="191"/>
      <c r="AF1561" s="191"/>
      <c r="AJ1561" s="189">
        <v>2.8622201411493902</v>
      </c>
      <c r="AK1561" s="208"/>
    </row>
    <row r="1562" spans="1:37" s="189" customFormat="1" ht="12" customHeight="1" x14ac:dyDescent="0.2">
      <c r="A1562" s="204"/>
      <c r="B1562" s="205"/>
      <c r="C1562" s="201" t="s">
        <v>330</v>
      </c>
      <c r="D1562" s="201"/>
      <c r="E1562" s="201"/>
      <c r="F1562" s="233"/>
      <c r="G1562" s="233"/>
      <c r="H1562" s="206" t="s">
        <v>331</v>
      </c>
      <c r="I1562" s="206" t="s">
        <v>388</v>
      </c>
      <c r="J1562" s="206"/>
      <c r="K1562" s="206" t="s">
        <v>389</v>
      </c>
      <c r="L1562" s="207"/>
      <c r="M1562" s="206"/>
      <c r="N1562" s="207"/>
      <c r="O1562" s="206"/>
      <c r="P1562" s="248"/>
      <c r="V1562" s="190"/>
      <c r="W1562" s="191"/>
      <c r="Z1562" s="203" t="s">
        <v>330</v>
      </c>
      <c r="AB1562" s="191"/>
      <c r="AD1562" s="191"/>
      <c r="AF1562" s="191"/>
      <c r="AJ1562" s="189">
        <v>2.8622201411493902</v>
      </c>
      <c r="AK1562" s="208"/>
    </row>
    <row r="1563" spans="1:37" s="189" customFormat="1" ht="12" customHeight="1" x14ac:dyDescent="0.2">
      <c r="A1563" s="204"/>
      <c r="B1563" s="205"/>
      <c r="C1563" s="201" t="s">
        <v>349</v>
      </c>
      <c r="D1563" s="201"/>
      <c r="E1563" s="201"/>
      <c r="F1563" s="233"/>
      <c r="G1563" s="233"/>
      <c r="H1563" s="206" t="s">
        <v>331</v>
      </c>
      <c r="I1563" s="206" t="s">
        <v>390</v>
      </c>
      <c r="J1563" s="206"/>
      <c r="K1563" s="206" t="s">
        <v>391</v>
      </c>
      <c r="L1563" s="207"/>
      <c r="M1563" s="206"/>
      <c r="N1563" s="207"/>
      <c r="O1563" s="206"/>
      <c r="P1563" s="248"/>
      <c r="V1563" s="190"/>
      <c r="W1563" s="191"/>
      <c r="Z1563" s="203" t="s">
        <v>349</v>
      </c>
      <c r="AB1563" s="191"/>
      <c r="AD1563" s="191"/>
      <c r="AF1563" s="191"/>
      <c r="AJ1563" s="189">
        <v>2.8622201411493902</v>
      </c>
      <c r="AK1563" s="208"/>
    </row>
    <row r="1564" spans="1:37" s="189" customFormat="1" ht="12" customHeight="1" x14ac:dyDescent="0.2">
      <c r="A1564" s="204"/>
      <c r="B1564" s="205"/>
      <c r="C1564" s="209" t="s">
        <v>334</v>
      </c>
      <c r="D1564" s="209"/>
      <c r="E1564" s="209"/>
      <c r="F1564" s="236"/>
      <c r="G1564" s="236"/>
      <c r="H1564" s="210"/>
      <c r="I1564" s="210"/>
      <c r="J1564" s="210"/>
      <c r="K1564" s="210"/>
      <c r="L1564" s="211">
        <v>44.94</v>
      </c>
      <c r="M1564" s="210"/>
      <c r="N1564" s="211">
        <v>0.9</v>
      </c>
      <c r="O1564" s="210"/>
      <c r="P1564" s="197"/>
      <c r="V1564" s="190"/>
      <c r="W1564" s="191"/>
      <c r="AA1564" s="203" t="s">
        <v>334</v>
      </c>
      <c r="AB1564" s="191"/>
      <c r="AD1564" s="191"/>
      <c r="AF1564" s="191"/>
      <c r="AJ1564" s="189">
        <v>2.8622201411493902</v>
      </c>
      <c r="AK1564" s="212"/>
    </row>
    <row r="1565" spans="1:37" s="189" customFormat="1" ht="12" customHeight="1" x14ac:dyDescent="0.2">
      <c r="A1565" s="204"/>
      <c r="B1565" s="205"/>
      <c r="C1565" s="201" t="s">
        <v>57</v>
      </c>
      <c r="D1565" s="201"/>
      <c r="E1565" s="201"/>
      <c r="F1565" s="233"/>
      <c r="G1565" s="233"/>
      <c r="H1565" s="206"/>
      <c r="I1565" s="206"/>
      <c r="J1565" s="206"/>
      <c r="K1565" s="206"/>
      <c r="L1565" s="207"/>
      <c r="M1565" s="206"/>
      <c r="N1565" s="207">
        <v>0.89</v>
      </c>
      <c r="O1565" s="206"/>
      <c r="P1565" s="248">
        <f>AJ1565*AK1565</f>
        <v>91.591044516780485</v>
      </c>
      <c r="V1565" s="190"/>
      <c r="W1565" s="191"/>
      <c r="Z1565" s="203" t="s">
        <v>57</v>
      </c>
      <c r="AB1565" s="191"/>
      <c r="AD1565" s="191"/>
      <c r="AF1565" s="191"/>
      <c r="AJ1565" s="189">
        <v>2.8622201411493902</v>
      </c>
      <c r="AK1565" s="208">
        <v>32</v>
      </c>
    </row>
    <row r="1566" spans="1:37" s="189" customFormat="1" ht="12" customHeight="1" x14ac:dyDescent="0.2">
      <c r="A1566" s="204"/>
      <c r="B1566" s="205" t="s">
        <v>392</v>
      </c>
      <c r="C1566" s="201" t="s">
        <v>77</v>
      </c>
      <c r="D1566" s="201"/>
      <c r="E1566" s="201"/>
      <c r="F1566" s="233"/>
      <c r="G1566" s="233"/>
      <c r="H1566" s="206" t="s">
        <v>60</v>
      </c>
      <c r="I1566" s="206" t="s">
        <v>393</v>
      </c>
      <c r="J1566" s="206"/>
      <c r="K1566" s="206" t="s">
        <v>393</v>
      </c>
      <c r="L1566" s="207"/>
      <c r="M1566" s="206"/>
      <c r="N1566" s="207">
        <v>0.81</v>
      </c>
      <c r="O1566" s="206"/>
      <c r="P1566" s="248">
        <f>AJ1566*AK1566</f>
        <v>83.00438409333232</v>
      </c>
      <c r="V1566" s="190"/>
      <c r="W1566" s="191"/>
      <c r="Z1566" s="203" t="s">
        <v>77</v>
      </c>
      <c r="AB1566" s="191"/>
      <c r="AD1566" s="191"/>
      <c r="AF1566" s="191"/>
      <c r="AJ1566" s="189">
        <v>2.8622201411493902</v>
      </c>
      <c r="AK1566" s="208">
        <v>29</v>
      </c>
    </row>
    <row r="1567" spans="1:37" s="189" customFormat="1" ht="12" customHeight="1" x14ac:dyDescent="0.2">
      <c r="A1567" s="204"/>
      <c r="B1567" s="205" t="s">
        <v>394</v>
      </c>
      <c r="C1567" s="201" t="s">
        <v>79</v>
      </c>
      <c r="D1567" s="201"/>
      <c r="E1567" s="201"/>
      <c r="F1567" s="233"/>
      <c r="G1567" s="233"/>
      <c r="H1567" s="206" t="s">
        <v>60</v>
      </c>
      <c r="I1567" s="206" t="s">
        <v>245</v>
      </c>
      <c r="J1567" s="206"/>
      <c r="K1567" s="206" t="s">
        <v>245</v>
      </c>
      <c r="L1567" s="207"/>
      <c r="M1567" s="206"/>
      <c r="N1567" s="207">
        <v>0.43</v>
      </c>
      <c r="O1567" s="206"/>
      <c r="P1567" s="248">
        <f>AJ1567*AK1567</f>
        <v>42.933302117240849</v>
      </c>
      <c r="V1567" s="190"/>
      <c r="W1567" s="191"/>
      <c r="Z1567" s="203" t="s">
        <v>79</v>
      </c>
      <c r="AB1567" s="191"/>
      <c r="AD1567" s="191"/>
      <c r="AF1567" s="191"/>
      <c r="AJ1567" s="189">
        <v>2.8622201411493902</v>
      </c>
      <c r="AK1567" s="208">
        <v>15</v>
      </c>
    </row>
    <row r="1568" spans="1:37" s="189" customFormat="1" ht="12" customHeight="1" x14ac:dyDescent="0.2">
      <c r="A1568" s="213"/>
      <c r="B1568" s="214"/>
      <c r="C1568" s="194" t="s">
        <v>63</v>
      </c>
      <c r="D1568" s="194"/>
      <c r="E1568" s="194"/>
      <c r="F1568" s="237"/>
      <c r="G1568" s="237"/>
      <c r="H1568" s="195"/>
      <c r="I1568" s="195"/>
      <c r="J1568" s="195"/>
      <c r="K1568" s="195"/>
      <c r="L1568" s="196"/>
      <c r="M1568" s="195"/>
      <c r="N1568" s="196">
        <v>2.14</v>
      </c>
      <c r="O1568" s="210"/>
      <c r="P1568" s="215">
        <f>AJ1568*AK1568</f>
        <v>217.52873072735366</v>
      </c>
      <c r="V1568" s="190"/>
      <c r="W1568" s="191"/>
      <c r="AB1568" s="191" t="s">
        <v>63</v>
      </c>
      <c r="AD1568" s="191"/>
      <c r="AF1568" s="191"/>
      <c r="AJ1568" s="189">
        <v>2.8622201411493902</v>
      </c>
      <c r="AK1568" s="198">
        <v>76</v>
      </c>
    </row>
    <row r="1569" spans="1:37" s="189" customFormat="1" ht="12" customHeight="1" x14ac:dyDescent="0.2">
      <c r="A1569" s="192">
        <v>396</v>
      </c>
      <c r="B1569" s="193" t="s">
        <v>395</v>
      </c>
      <c r="C1569" s="194" t="s">
        <v>396</v>
      </c>
      <c r="D1569" s="194"/>
      <c r="E1569" s="194"/>
      <c r="F1569" s="236"/>
      <c r="G1569" s="236"/>
      <c r="H1569" s="195" t="s">
        <v>75</v>
      </c>
      <c r="I1569" s="195"/>
      <c r="J1569" s="195"/>
      <c r="K1569" s="195" t="s">
        <v>397</v>
      </c>
      <c r="L1569" s="196"/>
      <c r="M1569" s="195"/>
      <c r="N1569" s="196"/>
      <c r="O1569" s="195"/>
      <c r="P1569" s="197"/>
      <c r="V1569" s="190"/>
      <c r="W1569" s="191" t="s">
        <v>396</v>
      </c>
      <c r="AB1569" s="191"/>
      <c r="AD1569" s="191"/>
      <c r="AF1569" s="191"/>
      <c r="AJ1569" s="189">
        <v>2.8622201411493902</v>
      </c>
      <c r="AK1569" s="198"/>
    </row>
    <row r="1570" spans="1:37" s="189" customFormat="1" ht="12" customHeight="1" x14ac:dyDescent="0.2">
      <c r="A1570" s="199"/>
      <c r="B1570" s="200"/>
      <c r="C1570" s="201" t="s">
        <v>386</v>
      </c>
      <c r="D1570" s="201"/>
      <c r="E1570" s="201"/>
      <c r="F1570" s="201"/>
      <c r="G1570" s="201"/>
      <c r="H1570" s="201"/>
      <c r="I1570" s="201"/>
      <c r="J1570" s="201"/>
      <c r="K1570" s="201"/>
      <c r="L1570" s="201"/>
      <c r="M1570" s="201"/>
      <c r="N1570" s="201"/>
      <c r="P1570" s="288"/>
      <c r="V1570" s="190"/>
      <c r="W1570" s="191"/>
      <c r="X1570" s="203" t="s">
        <v>386</v>
      </c>
      <c r="AB1570" s="191"/>
      <c r="AD1570" s="191"/>
      <c r="AF1570" s="191"/>
      <c r="AJ1570" s="189">
        <v>2.8622201411493902</v>
      </c>
    </row>
    <row r="1571" spans="1:37" s="189" customFormat="1" ht="12" customHeight="1" x14ac:dyDescent="0.2">
      <c r="A1571" s="204"/>
      <c r="B1571" s="205" t="s">
        <v>52</v>
      </c>
      <c r="C1571" s="201" t="s">
        <v>328</v>
      </c>
      <c r="D1571" s="201"/>
      <c r="E1571" s="201"/>
      <c r="F1571" s="233"/>
      <c r="G1571" s="233"/>
      <c r="H1571" s="206"/>
      <c r="I1571" s="206"/>
      <c r="J1571" s="206"/>
      <c r="K1571" s="206"/>
      <c r="L1571" s="207">
        <v>40.700000000000003</v>
      </c>
      <c r="M1571" s="206"/>
      <c r="N1571" s="207">
        <v>0.41</v>
      </c>
      <c r="O1571" s="206" t="s">
        <v>329</v>
      </c>
      <c r="P1571" s="248">
        <f>AJ1571*AK1571</f>
        <v>42.933302117240849</v>
      </c>
      <c r="V1571" s="190"/>
      <c r="W1571" s="191"/>
      <c r="Y1571" s="203" t="s">
        <v>328</v>
      </c>
      <c r="AB1571" s="191"/>
      <c r="AD1571" s="191"/>
      <c r="AF1571" s="191"/>
      <c r="AJ1571" s="189">
        <v>2.8622201411493902</v>
      </c>
      <c r="AK1571" s="208">
        <v>15</v>
      </c>
    </row>
    <row r="1572" spans="1:37" s="189" customFormat="1" ht="12" customHeight="1" x14ac:dyDescent="0.2">
      <c r="A1572" s="204"/>
      <c r="B1572" s="205"/>
      <c r="C1572" s="201" t="s">
        <v>330</v>
      </c>
      <c r="D1572" s="201"/>
      <c r="E1572" s="201"/>
      <c r="F1572" s="233"/>
      <c r="G1572" s="233"/>
      <c r="H1572" s="206" t="s">
        <v>331</v>
      </c>
      <c r="I1572" s="206" t="s">
        <v>398</v>
      </c>
      <c r="J1572" s="206"/>
      <c r="K1572" s="206" t="s">
        <v>399</v>
      </c>
      <c r="L1572" s="207"/>
      <c r="M1572" s="206"/>
      <c r="N1572" s="207"/>
      <c r="O1572" s="206"/>
      <c r="P1572" s="248"/>
      <c r="V1572" s="190"/>
      <c r="W1572" s="191"/>
      <c r="Z1572" s="203" t="s">
        <v>330</v>
      </c>
      <c r="AB1572" s="191"/>
      <c r="AD1572" s="191"/>
      <c r="AF1572" s="191"/>
      <c r="AJ1572" s="189">
        <v>2.8622201411493902</v>
      </c>
      <c r="AK1572" s="208"/>
    </row>
    <row r="1573" spans="1:37" s="189" customFormat="1" ht="12" customHeight="1" x14ac:dyDescent="0.2">
      <c r="A1573" s="204"/>
      <c r="B1573" s="205"/>
      <c r="C1573" s="209" t="s">
        <v>334</v>
      </c>
      <c r="D1573" s="209"/>
      <c r="E1573" s="209"/>
      <c r="F1573" s="236"/>
      <c r="G1573" s="236"/>
      <c r="H1573" s="210"/>
      <c r="I1573" s="210"/>
      <c r="J1573" s="210"/>
      <c r="K1573" s="210"/>
      <c r="L1573" s="211">
        <v>40.700000000000003</v>
      </c>
      <c r="M1573" s="210"/>
      <c r="N1573" s="211">
        <v>0.41</v>
      </c>
      <c r="O1573" s="210"/>
      <c r="P1573" s="197"/>
      <c r="V1573" s="190"/>
      <c r="W1573" s="191"/>
      <c r="AA1573" s="203" t="s">
        <v>334</v>
      </c>
      <c r="AB1573" s="191"/>
      <c r="AD1573" s="191"/>
      <c r="AF1573" s="191"/>
      <c r="AJ1573" s="189">
        <v>2.8622201411493902</v>
      </c>
      <c r="AK1573" s="212"/>
    </row>
    <row r="1574" spans="1:37" s="189" customFormat="1" ht="12" customHeight="1" x14ac:dyDescent="0.2">
      <c r="A1574" s="204"/>
      <c r="B1574" s="205"/>
      <c r="C1574" s="201" t="s">
        <v>57</v>
      </c>
      <c r="D1574" s="201"/>
      <c r="E1574" s="201"/>
      <c r="F1574" s="233"/>
      <c r="G1574" s="233"/>
      <c r="H1574" s="206"/>
      <c r="I1574" s="206"/>
      <c r="J1574" s="206"/>
      <c r="K1574" s="206"/>
      <c r="L1574" s="207"/>
      <c r="M1574" s="206"/>
      <c r="N1574" s="207">
        <v>0.41</v>
      </c>
      <c r="O1574" s="206"/>
      <c r="P1574" s="248">
        <f>AJ1574*AK1574</f>
        <v>42.933302117240849</v>
      </c>
      <c r="V1574" s="190"/>
      <c r="W1574" s="191"/>
      <c r="Z1574" s="203" t="s">
        <v>57</v>
      </c>
      <c r="AB1574" s="191"/>
      <c r="AD1574" s="191"/>
      <c r="AF1574" s="191"/>
      <c r="AJ1574" s="189">
        <v>2.8622201411493902</v>
      </c>
      <c r="AK1574" s="208">
        <v>15</v>
      </c>
    </row>
    <row r="1575" spans="1:37" s="189" customFormat="1" ht="12" customHeight="1" x14ac:dyDescent="0.2">
      <c r="A1575" s="204"/>
      <c r="B1575" s="205" t="s">
        <v>392</v>
      </c>
      <c r="C1575" s="201" t="s">
        <v>77</v>
      </c>
      <c r="D1575" s="201"/>
      <c r="E1575" s="201"/>
      <c r="F1575" s="233"/>
      <c r="G1575" s="233"/>
      <c r="H1575" s="206" t="s">
        <v>60</v>
      </c>
      <c r="I1575" s="206" t="s">
        <v>393</v>
      </c>
      <c r="J1575" s="206"/>
      <c r="K1575" s="206" t="s">
        <v>393</v>
      </c>
      <c r="L1575" s="207"/>
      <c r="M1575" s="206"/>
      <c r="N1575" s="207">
        <v>0.37</v>
      </c>
      <c r="O1575" s="206"/>
      <c r="P1575" s="248">
        <f>AJ1575*AK1575</f>
        <v>40.071081976091463</v>
      </c>
      <c r="V1575" s="190"/>
      <c r="W1575" s="191"/>
      <c r="Z1575" s="203" t="s">
        <v>77</v>
      </c>
      <c r="AB1575" s="191"/>
      <c r="AD1575" s="191"/>
      <c r="AF1575" s="191"/>
      <c r="AJ1575" s="189">
        <v>2.8622201411493902</v>
      </c>
      <c r="AK1575" s="208">
        <v>14</v>
      </c>
    </row>
    <row r="1576" spans="1:37" s="189" customFormat="1" ht="12" customHeight="1" x14ac:dyDescent="0.2">
      <c r="A1576" s="204"/>
      <c r="B1576" s="205" t="s">
        <v>394</v>
      </c>
      <c r="C1576" s="201" t="s">
        <v>79</v>
      </c>
      <c r="D1576" s="201"/>
      <c r="E1576" s="201"/>
      <c r="F1576" s="233"/>
      <c r="G1576" s="233"/>
      <c r="H1576" s="206" t="s">
        <v>60</v>
      </c>
      <c r="I1576" s="206" t="s">
        <v>245</v>
      </c>
      <c r="J1576" s="206"/>
      <c r="K1576" s="206" t="s">
        <v>245</v>
      </c>
      <c r="L1576" s="207"/>
      <c r="M1576" s="206"/>
      <c r="N1576" s="207">
        <v>0.2</v>
      </c>
      <c r="O1576" s="206"/>
      <c r="P1576" s="248">
        <f>AJ1576*AK1576</f>
        <v>20.035540988045732</v>
      </c>
      <c r="V1576" s="190"/>
      <c r="W1576" s="191"/>
      <c r="Z1576" s="203" t="s">
        <v>79</v>
      </c>
      <c r="AB1576" s="191"/>
      <c r="AD1576" s="191"/>
      <c r="AF1576" s="191"/>
      <c r="AJ1576" s="189">
        <v>2.8622201411493902</v>
      </c>
      <c r="AK1576" s="208">
        <v>7</v>
      </c>
    </row>
    <row r="1577" spans="1:37" s="189" customFormat="1" ht="12" customHeight="1" x14ac:dyDescent="0.2">
      <c r="A1577" s="213"/>
      <c r="B1577" s="214"/>
      <c r="C1577" s="194" t="s">
        <v>63</v>
      </c>
      <c r="D1577" s="194"/>
      <c r="E1577" s="194"/>
      <c r="F1577" s="235"/>
      <c r="G1577" s="235"/>
      <c r="H1577" s="195"/>
      <c r="I1577" s="195"/>
      <c r="J1577" s="195"/>
      <c r="K1577" s="195"/>
      <c r="L1577" s="196"/>
      <c r="M1577" s="195"/>
      <c r="N1577" s="196">
        <v>0.98</v>
      </c>
      <c r="O1577" s="242"/>
      <c r="P1577" s="215">
        <f>AJ1577*AK1577</f>
        <v>103.03992508137804</v>
      </c>
      <c r="V1577" s="190"/>
      <c r="W1577" s="191"/>
      <c r="AB1577" s="191" t="s">
        <v>63</v>
      </c>
      <c r="AD1577" s="191"/>
      <c r="AF1577" s="191"/>
      <c r="AJ1577" s="189">
        <v>2.8622201411493902</v>
      </c>
      <c r="AK1577" s="198">
        <v>36</v>
      </c>
    </row>
    <row r="1578" spans="1:37" s="189" customFormat="1" ht="12" customHeight="1" x14ac:dyDescent="0.2">
      <c r="A1578" s="218" t="s">
        <v>51</v>
      </c>
      <c r="B1578" s="219"/>
      <c r="C1578" s="219"/>
      <c r="D1578" s="219"/>
      <c r="E1578" s="219"/>
      <c r="F1578" s="219"/>
      <c r="G1578" s="219"/>
      <c r="H1578" s="219"/>
      <c r="I1578" s="219"/>
      <c r="J1578" s="219"/>
      <c r="K1578" s="219"/>
      <c r="L1578" s="219"/>
      <c r="M1578" s="219"/>
      <c r="N1578" s="219"/>
      <c r="O1578" s="232"/>
      <c r="P1578" s="288"/>
      <c r="V1578" s="190"/>
      <c r="W1578" s="191"/>
      <c r="AB1578" s="191"/>
      <c r="AD1578" s="191" t="s">
        <v>51</v>
      </c>
      <c r="AF1578" s="191"/>
      <c r="AJ1578" s="189">
        <v>2.8622201411493902</v>
      </c>
    </row>
    <row r="1579" spans="1:37" s="189" customFormat="1" ht="12" customHeight="1" x14ac:dyDescent="0.2">
      <c r="A1579" s="192">
        <v>397</v>
      </c>
      <c r="B1579" s="193" t="s">
        <v>400</v>
      </c>
      <c r="C1579" s="194" t="s">
        <v>401</v>
      </c>
      <c r="D1579" s="194"/>
      <c r="E1579" s="194"/>
      <c r="H1579" s="195" t="s">
        <v>55</v>
      </c>
      <c r="I1579" s="195"/>
      <c r="J1579" s="195"/>
      <c r="K1579" s="220">
        <f>0.86*2.14/100</f>
        <v>1.8404E-2</v>
      </c>
      <c r="L1579" s="196"/>
      <c r="M1579" s="195"/>
      <c r="N1579" s="196"/>
      <c r="O1579" s="221"/>
      <c r="P1579" s="197"/>
      <c r="V1579" s="190"/>
      <c r="W1579" s="191" t="s">
        <v>401</v>
      </c>
      <c r="AB1579" s="191"/>
      <c r="AD1579" s="191"/>
      <c r="AF1579" s="191"/>
      <c r="AJ1579" s="189">
        <v>2.8622201411493902</v>
      </c>
      <c r="AK1579" s="198"/>
    </row>
    <row r="1580" spans="1:37" s="189" customFormat="1" ht="12" customHeight="1" x14ac:dyDescent="0.2">
      <c r="A1580" s="199"/>
      <c r="B1580" s="200"/>
      <c r="C1580" s="201" t="s">
        <v>342</v>
      </c>
      <c r="D1580" s="201"/>
      <c r="E1580" s="201"/>
      <c r="F1580" s="201"/>
      <c r="G1580" s="201"/>
      <c r="H1580" s="201"/>
      <c r="I1580" s="201"/>
      <c r="J1580" s="201"/>
      <c r="K1580" s="201"/>
      <c r="L1580" s="201"/>
      <c r="M1580" s="201"/>
      <c r="N1580" s="201"/>
      <c r="P1580" s="288"/>
      <c r="V1580" s="190"/>
      <c r="W1580" s="191"/>
      <c r="X1580" s="203" t="s">
        <v>343</v>
      </c>
      <c r="AB1580" s="191"/>
      <c r="AD1580" s="191"/>
      <c r="AF1580" s="191"/>
      <c r="AJ1580" s="189">
        <v>2.8622201411493902</v>
      </c>
    </row>
    <row r="1581" spans="1:37" s="189" customFormat="1" ht="12" customHeight="1" x14ac:dyDescent="0.2">
      <c r="A1581" s="204"/>
      <c r="B1581" s="205" t="s">
        <v>52</v>
      </c>
      <c r="C1581" s="201" t="s">
        <v>328</v>
      </c>
      <c r="D1581" s="201"/>
      <c r="E1581" s="201"/>
      <c r="H1581" s="206"/>
      <c r="I1581" s="206"/>
      <c r="J1581" s="206"/>
      <c r="K1581" s="206"/>
      <c r="L1581" s="207">
        <v>287.2</v>
      </c>
      <c r="M1581" s="206"/>
      <c r="N1581" s="207">
        <v>15.8</v>
      </c>
      <c r="O1581" s="206" t="s">
        <v>329</v>
      </c>
      <c r="P1581" s="248">
        <f>AJ1581*AK1581</f>
        <v>1645.7765811608992</v>
      </c>
      <c r="V1581" s="190"/>
      <c r="W1581" s="191"/>
      <c r="Y1581" s="203" t="s">
        <v>328</v>
      </c>
      <c r="AB1581" s="191"/>
      <c r="AD1581" s="191"/>
      <c r="AF1581" s="191"/>
      <c r="AJ1581" s="189">
        <v>2.8622201411493902</v>
      </c>
      <c r="AK1581" s="208">
        <v>575</v>
      </c>
    </row>
    <row r="1582" spans="1:37" s="189" customFormat="1" ht="12" customHeight="1" x14ac:dyDescent="0.2">
      <c r="A1582" s="204"/>
      <c r="B1582" s="205" t="s">
        <v>64</v>
      </c>
      <c r="C1582" s="201" t="s">
        <v>344</v>
      </c>
      <c r="D1582" s="201"/>
      <c r="E1582" s="201"/>
      <c r="H1582" s="206"/>
      <c r="I1582" s="206"/>
      <c r="J1582" s="206"/>
      <c r="K1582" s="206"/>
      <c r="L1582" s="207">
        <v>16.850000000000001</v>
      </c>
      <c r="M1582" s="206"/>
      <c r="N1582" s="207">
        <v>0.93</v>
      </c>
      <c r="O1582" s="206" t="s">
        <v>345</v>
      </c>
      <c r="P1582" s="248">
        <f>AJ1582*AK1582</f>
        <v>28.622201411493901</v>
      </c>
      <c r="V1582" s="190"/>
      <c r="W1582" s="191"/>
      <c r="Y1582" s="203" t="s">
        <v>344</v>
      </c>
      <c r="AB1582" s="191"/>
      <c r="AD1582" s="191"/>
      <c r="AF1582" s="191"/>
      <c r="AJ1582" s="189">
        <v>2.8622201411493902</v>
      </c>
      <c r="AK1582" s="208">
        <v>10</v>
      </c>
    </row>
    <row r="1583" spans="1:37" s="189" customFormat="1" ht="12" customHeight="1" x14ac:dyDescent="0.2">
      <c r="A1583" s="204"/>
      <c r="B1583" s="205" t="s">
        <v>68</v>
      </c>
      <c r="C1583" s="201" t="s">
        <v>346</v>
      </c>
      <c r="D1583" s="201"/>
      <c r="E1583" s="201"/>
      <c r="H1583" s="206"/>
      <c r="I1583" s="206"/>
      <c r="J1583" s="206"/>
      <c r="K1583" s="206"/>
      <c r="L1583" s="207">
        <v>9.4</v>
      </c>
      <c r="M1583" s="206"/>
      <c r="N1583" s="207">
        <v>0.52</v>
      </c>
      <c r="O1583" s="206" t="s">
        <v>329</v>
      </c>
      <c r="P1583" s="248">
        <f>AJ1583*AK1583</f>
        <v>54.382182681838415</v>
      </c>
      <c r="V1583" s="190"/>
      <c r="W1583" s="191"/>
      <c r="Y1583" s="203" t="s">
        <v>346</v>
      </c>
      <c r="AB1583" s="191"/>
      <c r="AD1583" s="191"/>
      <c r="AF1583" s="191"/>
      <c r="AJ1583" s="189">
        <v>2.8622201411493902</v>
      </c>
      <c r="AK1583" s="208">
        <v>19</v>
      </c>
    </row>
    <row r="1584" spans="1:37" s="189" customFormat="1" ht="12" customHeight="1" x14ac:dyDescent="0.2">
      <c r="A1584" s="204"/>
      <c r="B1584" s="205" t="s">
        <v>72</v>
      </c>
      <c r="C1584" s="201" t="s">
        <v>402</v>
      </c>
      <c r="D1584" s="201"/>
      <c r="E1584" s="201"/>
      <c r="H1584" s="206"/>
      <c r="I1584" s="206"/>
      <c r="J1584" s="206"/>
      <c r="K1584" s="206"/>
      <c r="L1584" s="207">
        <v>1.32</v>
      </c>
      <c r="M1584" s="206"/>
      <c r="N1584" s="207">
        <v>7.0000000000000007E-2</v>
      </c>
      <c r="O1584" s="206" t="s">
        <v>403</v>
      </c>
      <c r="P1584" s="248"/>
      <c r="V1584" s="190"/>
      <c r="W1584" s="191"/>
      <c r="Y1584" s="203" t="s">
        <v>402</v>
      </c>
      <c r="AB1584" s="191"/>
      <c r="AD1584" s="191"/>
      <c r="AF1584" s="191"/>
      <c r="AJ1584" s="189">
        <v>2.8622201411493902</v>
      </c>
      <c r="AK1584" s="208"/>
    </row>
    <row r="1585" spans="1:37" s="189" customFormat="1" ht="12" customHeight="1" x14ac:dyDescent="0.2">
      <c r="A1585" s="204"/>
      <c r="B1585" s="205"/>
      <c r="C1585" s="201" t="s">
        <v>330</v>
      </c>
      <c r="D1585" s="201"/>
      <c r="E1585" s="201"/>
      <c r="H1585" s="206" t="s">
        <v>331</v>
      </c>
      <c r="I1585" s="206" t="s">
        <v>404</v>
      </c>
      <c r="J1585" s="206"/>
      <c r="K1585" s="206" t="s">
        <v>405</v>
      </c>
      <c r="L1585" s="207"/>
      <c r="M1585" s="206"/>
      <c r="N1585" s="207"/>
      <c r="O1585" s="206"/>
      <c r="P1585" s="248"/>
      <c r="V1585" s="190"/>
      <c r="W1585" s="191"/>
      <c r="Z1585" s="203" t="s">
        <v>330</v>
      </c>
      <c r="AB1585" s="191"/>
      <c r="AD1585" s="191"/>
      <c r="AF1585" s="191"/>
      <c r="AJ1585" s="189">
        <v>2.8622201411493902</v>
      </c>
      <c r="AK1585" s="208"/>
    </row>
    <row r="1586" spans="1:37" s="189" customFormat="1" ht="12" customHeight="1" x14ac:dyDescent="0.2">
      <c r="A1586" s="204"/>
      <c r="B1586" s="205"/>
      <c r="C1586" s="201" t="s">
        <v>349</v>
      </c>
      <c r="D1586" s="201"/>
      <c r="E1586" s="201"/>
      <c r="H1586" s="206" t="s">
        <v>331</v>
      </c>
      <c r="I1586" s="206" t="s">
        <v>406</v>
      </c>
      <c r="J1586" s="206"/>
      <c r="K1586" s="206" t="s">
        <v>407</v>
      </c>
      <c r="L1586" s="207"/>
      <c r="M1586" s="206"/>
      <c r="N1586" s="207"/>
      <c r="O1586" s="206"/>
      <c r="P1586" s="248"/>
      <c r="V1586" s="190"/>
      <c r="W1586" s="191"/>
      <c r="Z1586" s="203" t="s">
        <v>349</v>
      </c>
      <c r="AB1586" s="191"/>
      <c r="AD1586" s="191"/>
      <c r="AF1586" s="191"/>
      <c r="AJ1586" s="189">
        <v>2.8622201411493902</v>
      </c>
      <c r="AK1586" s="208"/>
    </row>
    <row r="1587" spans="1:37" s="189" customFormat="1" ht="12" customHeight="1" x14ac:dyDescent="0.2">
      <c r="A1587" s="204"/>
      <c r="B1587" s="205"/>
      <c r="C1587" s="209" t="s">
        <v>334</v>
      </c>
      <c r="D1587" s="209"/>
      <c r="E1587" s="209"/>
      <c r="F1587" s="234"/>
      <c r="G1587" s="234"/>
      <c r="H1587" s="210"/>
      <c r="I1587" s="210"/>
      <c r="J1587" s="210"/>
      <c r="K1587" s="210"/>
      <c r="L1587" s="211">
        <v>305.37</v>
      </c>
      <c r="M1587" s="210"/>
      <c r="N1587" s="211">
        <v>16.8</v>
      </c>
      <c r="O1587" s="210"/>
      <c r="P1587" s="197"/>
      <c r="V1587" s="190"/>
      <c r="W1587" s="191"/>
      <c r="AA1587" s="203" t="s">
        <v>334</v>
      </c>
      <c r="AB1587" s="191"/>
      <c r="AD1587" s="191"/>
      <c r="AF1587" s="191"/>
      <c r="AJ1587" s="189">
        <v>2.8622201411493902</v>
      </c>
      <c r="AK1587" s="212"/>
    </row>
    <row r="1588" spans="1:37" s="189" customFormat="1" ht="12" customHeight="1" x14ac:dyDescent="0.2">
      <c r="A1588" s="204"/>
      <c r="B1588" s="205"/>
      <c r="C1588" s="201" t="s">
        <v>57</v>
      </c>
      <c r="D1588" s="201"/>
      <c r="E1588" s="201"/>
      <c r="H1588" s="206"/>
      <c r="I1588" s="206"/>
      <c r="J1588" s="206"/>
      <c r="K1588" s="206"/>
      <c r="L1588" s="207"/>
      <c r="M1588" s="206"/>
      <c r="N1588" s="207">
        <v>16.32</v>
      </c>
      <c r="O1588" s="206"/>
      <c r="P1588" s="248">
        <f>AJ1588*AK1588</f>
        <v>1700.1587638427377</v>
      </c>
      <c r="V1588" s="190"/>
      <c r="W1588" s="191"/>
      <c r="Z1588" s="203" t="s">
        <v>57</v>
      </c>
      <c r="AB1588" s="191"/>
      <c r="AD1588" s="191"/>
      <c r="AF1588" s="191"/>
      <c r="AJ1588" s="189">
        <v>2.8622201411493902</v>
      </c>
      <c r="AK1588" s="208">
        <v>594</v>
      </c>
    </row>
    <row r="1589" spans="1:37" s="189" customFormat="1" ht="12" customHeight="1" x14ac:dyDescent="0.2">
      <c r="A1589" s="204"/>
      <c r="B1589" s="205" t="s">
        <v>408</v>
      </c>
      <c r="C1589" s="201" t="s">
        <v>59</v>
      </c>
      <c r="D1589" s="201"/>
      <c r="E1589" s="201"/>
      <c r="H1589" s="206" t="s">
        <v>60</v>
      </c>
      <c r="I1589" s="206" t="s">
        <v>409</v>
      </c>
      <c r="J1589" s="206" t="s">
        <v>410</v>
      </c>
      <c r="K1589" s="206" t="s">
        <v>337</v>
      </c>
      <c r="L1589" s="207"/>
      <c r="M1589" s="206"/>
      <c r="N1589" s="207">
        <v>14.69</v>
      </c>
      <c r="O1589" s="206"/>
      <c r="P1589" s="248">
        <f>AJ1589*AK1589</f>
        <v>1531.2877755149236</v>
      </c>
      <c r="V1589" s="190"/>
      <c r="W1589" s="191"/>
      <c r="Z1589" s="203" t="s">
        <v>59</v>
      </c>
      <c r="AB1589" s="191"/>
      <c r="AD1589" s="191"/>
      <c r="AF1589" s="191"/>
      <c r="AJ1589" s="189">
        <v>2.8622201411493902</v>
      </c>
      <c r="AK1589" s="208">
        <v>535</v>
      </c>
    </row>
    <row r="1590" spans="1:37" s="189" customFormat="1" ht="12" customHeight="1" x14ac:dyDescent="0.2">
      <c r="A1590" s="204"/>
      <c r="B1590" s="205" t="s">
        <v>411</v>
      </c>
      <c r="C1590" s="201" t="s">
        <v>62</v>
      </c>
      <c r="D1590" s="201"/>
      <c r="E1590" s="201"/>
      <c r="H1590" s="206" t="s">
        <v>60</v>
      </c>
      <c r="I1590" s="206" t="s">
        <v>248</v>
      </c>
      <c r="J1590" s="206" t="s">
        <v>412</v>
      </c>
      <c r="K1590" s="206" t="s">
        <v>413</v>
      </c>
      <c r="L1590" s="207"/>
      <c r="M1590" s="206"/>
      <c r="N1590" s="207">
        <v>6.8</v>
      </c>
      <c r="O1590" s="206"/>
      <c r="P1590" s="248">
        <f>AJ1590*AK1590</f>
        <v>706.96837486389938</v>
      </c>
      <c r="V1590" s="190"/>
      <c r="W1590" s="191"/>
      <c r="Z1590" s="203" t="s">
        <v>62</v>
      </c>
      <c r="AB1590" s="191"/>
      <c r="AD1590" s="191"/>
      <c r="AF1590" s="191"/>
      <c r="AJ1590" s="189">
        <v>2.8622201411493902</v>
      </c>
      <c r="AK1590" s="208">
        <v>247</v>
      </c>
    </row>
    <row r="1591" spans="1:37" s="189" customFormat="1" ht="12" customHeight="1" x14ac:dyDescent="0.2">
      <c r="A1591" s="213"/>
      <c r="B1591" s="214"/>
      <c r="C1591" s="194" t="s">
        <v>63</v>
      </c>
      <c r="D1591" s="194"/>
      <c r="E1591" s="194"/>
      <c r="F1591" s="234"/>
      <c r="G1591" s="234"/>
      <c r="H1591" s="195"/>
      <c r="I1591" s="195"/>
      <c r="J1591" s="195"/>
      <c r="K1591" s="195"/>
      <c r="L1591" s="196"/>
      <c r="M1591" s="195"/>
      <c r="N1591" s="196">
        <v>38.29</v>
      </c>
      <c r="O1591" s="210"/>
      <c r="P1591" s="197">
        <f>AJ1591*AK1591</f>
        <v>3912.6549329512163</v>
      </c>
      <c r="V1591" s="190"/>
      <c r="W1591" s="191"/>
      <c r="AB1591" s="191" t="s">
        <v>63</v>
      </c>
      <c r="AD1591" s="191"/>
      <c r="AF1591" s="191"/>
      <c r="AJ1591" s="189">
        <v>2.8622201411493902</v>
      </c>
      <c r="AK1591" s="198">
        <v>1367</v>
      </c>
    </row>
    <row r="1592" spans="1:37" s="189" customFormat="1" ht="12" customHeight="1" x14ac:dyDescent="0.2">
      <c r="A1592" s="192">
        <v>398</v>
      </c>
      <c r="B1592" s="193" t="s">
        <v>414</v>
      </c>
      <c r="C1592" s="194" t="s">
        <v>415</v>
      </c>
      <c r="D1592" s="194"/>
      <c r="E1592" s="194"/>
      <c r="F1592" s="234"/>
      <c r="G1592" s="234"/>
      <c r="H1592" s="195" t="s">
        <v>71</v>
      </c>
      <c r="I1592" s="195"/>
      <c r="J1592" s="195"/>
      <c r="K1592" s="195" t="s">
        <v>416</v>
      </c>
      <c r="L1592" s="196">
        <v>2362.5100000000002</v>
      </c>
      <c r="M1592" s="195"/>
      <c r="N1592" s="196">
        <v>117.07</v>
      </c>
      <c r="O1592" s="195" t="s">
        <v>403</v>
      </c>
      <c r="P1592" s="197">
        <f>AJ1592*AK1592</f>
        <v>2077.9718224744574</v>
      </c>
      <c r="V1592" s="190"/>
      <c r="W1592" s="191" t="s">
        <v>415</v>
      </c>
      <c r="AB1592" s="191"/>
      <c r="AD1592" s="191"/>
      <c r="AF1592" s="191"/>
      <c r="AJ1592" s="189">
        <v>2.8622201411493902</v>
      </c>
      <c r="AK1592" s="198">
        <v>726</v>
      </c>
    </row>
    <row r="1593" spans="1:37" s="189" customFormat="1" ht="12" customHeight="1" x14ac:dyDescent="0.2">
      <c r="A1593" s="192">
        <v>399</v>
      </c>
      <c r="B1593" s="193" t="s">
        <v>417</v>
      </c>
      <c r="C1593" s="194" t="s">
        <v>418</v>
      </c>
      <c r="D1593" s="194"/>
      <c r="E1593" s="194"/>
      <c r="F1593" s="234"/>
      <c r="G1593" s="234"/>
      <c r="H1593" s="195" t="s">
        <v>419</v>
      </c>
      <c r="I1593" s="195"/>
      <c r="J1593" s="195"/>
      <c r="K1593" s="195" t="s">
        <v>420</v>
      </c>
      <c r="L1593" s="196">
        <v>9.14</v>
      </c>
      <c r="M1593" s="195"/>
      <c r="N1593" s="196">
        <v>6.54</v>
      </c>
      <c r="O1593" s="195" t="s">
        <v>403</v>
      </c>
      <c r="P1593" s="197">
        <f>AJ1593*AK1593</f>
        <v>117.351025787125</v>
      </c>
      <c r="V1593" s="190"/>
      <c r="W1593" s="191" t="s">
        <v>418</v>
      </c>
      <c r="AB1593" s="191"/>
      <c r="AD1593" s="191"/>
      <c r="AF1593" s="191"/>
      <c r="AJ1593" s="189">
        <v>2.8622201411493902</v>
      </c>
      <c r="AK1593" s="198">
        <v>41</v>
      </c>
    </row>
    <row r="1594" spans="1:37" s="189" customFormat="1" ht="12" customHeight="1" x14ac:dyDescent="0.2">
      <c r="A1594" s="199"/>
      <c r="B1594" s="200"/>
      <c r="C1594" s="243" t="s">
        <v>421</v>
      </c>
      <c r="D1594" s="243"/>
      <c r="E1594" s="243"/>
      <c r="F1594" s="243"/>
      <c r="G1594" s="243"/>
      <c r="H1594" s="243"/>
      <c r="I1594" s="243"/>
      <c r="J1594" s="243"/>
      <c r="K1594" s="243"/>
      <c r="L1594" s="243"/>
      <c r="M1594" s="243"/>
      <c r="N1594" s="243"/>
      <c r="P1594" s="288"/>
      <c r="V1594" s="190"/>
      <c r="W1594" s="191"/>
      <c r="X1594" s="203" t="s">
        <v>421</v>
      </c>
      <c r="AB1594" s="191"/>
      <c r="AD1594" s="191"/>
      <c r="AF1594" s="191"/>
      <c r="AJ1594" s="189">
        <v>2.8622201411493902</v>
      </c>
    </row>
    <row r="1595" spans="1:37" s="189" customFormat="1" ht="12" customHeight="1" x14ac:dyDescent="0.2">
      <c r="A1595" s="192">
        <v>400</v>
      </c>
      <c r="B1595" s="193" t="s">
        <v>422</v>
      </c>
      <c r="C1595" s="244" t="s">
        <v>54</v>
      </c>
      <c r="D1595" s="244"/>
      <c r="E1595" s="244"/>
      <c r="H1595" s="221" t="s">
        <v>55</v>
      </c>
      <c r="I1595" s="221"/>
      <c r="J1595" s="221"/>
      <c r="K1595" s="221">
        <v>1.84E-2</v>
      </c>
      <c r="L1595" s="245"/>
      <c r="M1595" s="221"/>
      <c r="N1595" s="245"/>
      <c r="O1595" s="195"/>
      <c r="P1595" s="197"/>
      <c r="V1595" s="190"/>
      <c r="W1595" s="191" t="s">
        <v>54</v>
      </c>
      <c r="AB1595" s="191"/>
      <c r="AD1595" s="191"/>
      <c r="AF1595" s="191"/>
      <c r="AJ1595" s="189">
        <v>2.8622201411493902</v>
      </c>
      <c r="AK1595" s="198"/>
    </row>
    <row r="1596" spans="1:37" s="189" customFormat="1" ht="12" customHeight="1" x14ac:dyDescent="0.2">
      <c r="A1596" s="199"/>
      <c r="B1596" s="200"/>
      <c r="C1596" s="201" t="s">
        <v>342</v>
      </c>
      <c r="D1596" s="201"/>
      <c r="E1596" s="201"/>
      <c r="F1596" s="201"/>
      <c r="G1596" s="201"/>
      <c r="H1596" s="201"/>
      <c r="I1596" s="201"/>
      <c r="J1596" s="201"/>
      <c r="K1596" s="201"/>
      <c r="L1596" s="201"/>
      <c r="M1596" s="201"/>
      <c r="N1596" s="201"/>
      <c r="P1596" s="288"/>
      <c r="V1596" s="190"/>
      <c r="W1596" s="191"/>
      <c r="X1596" s="203" t="s">
        <v>343</v>
      </c>
      <c r="AB1596" s="191"/>
      <c r="AD1596" s="191"/>
      <c r="AF1596" s="191"/>
      <c r="AJ1596" s="189">
        <v>2.8622201411493902</v>
      </c>
    </row>
    <row r="1597" spans="1:37" s="189" customFormat="1" ht="12" customHeight="1" x14ac:dyDescent="0.2">
      <c r="A1597" s="204"/>
      <c r="B1597" s="205" t="s">
        <v>52</v>
      </c>
      <c r="C1597" s="201" t="s">
        <v>328</v>
      </c>
      <c r="D1597" s="201"/>
      <c r="E1597" s="201"/>
      <c r="H1597" s="206"/>
      <c r="I1597" s="206"/>
      <c r="J1597" s="206"/>
      <c r="K1597" s="206"/>
      <c r="L1597" s="207">
        <v>492.03</v>
      </c>
      <c r="M1597" s="206"/>
      <c r="N1597" s="207">
        <v>27.06</v>
      </c>
      <c r="O1597" s="206" t="s">
        <v>329</v>
      </c>
      <c r="P1597" s="248">
        <f>AJ1597*AK1597</f>
        <v>2816.4246188910001</v>
      </c>
      <c r="V1597" s="190"/>
      <c r="W1597" s="191"/>
      <c r="Y1597" s="203" t="s">
        <v>328</v>
      </c>
      <c r="AB1597" s="191"/>
      <c r="AD1597" s="191"/>
      <c r="AF1597" s="191"/>
      <c r="AJ1597" s="189">
        <v>2.8622201411493902</v>
      </c>
      <c r="AK1597" s="208">
        <v>984</v>
      </c>
    </row>
    <row r="1598" spans="1:37" s="189" customFormat="1" ht="12" customHeight="1" x14ac:dyDescent="0.2">
      <c r="A1598" s="204"/>
      <c r="B1598" s="205" t="s">
        <v>64</v>
      </c>
      <c r="C1598" s="201" t="s">
        <v>344</v>
      </c>
      <c r="D1598" s="201"/>
      <c r="E1598" s="201"/>
      <c r="H1598" s="206"/>
      <c r="I1598" s="206"/>
      <c r="J1598" s="206"/>
      <c r="K1598" s="206"/>
      <c r="L1598" s="207">
        <v>14.42</v>
      </c>
      <c r="M1598" s="206"/>
      <c r="N1598" s="207">
        <v>0.79</v>
      </c>
      <c r="O1598" s="206" t="s">
        <v>345</v>
      </c>
      <c r="P1598" s="248">
        <f>AJ1598*AK1598</f>
        <v>25.759981270344511</v>
      </c>
      <c r="V1598" s="190"/>
      <c r="W1598" s="191"/>
      <c r="Y1598" s="203" t="s">
        <v>344</v>
      </c>
      <c r="AB1598" s="191"/>
      <c r="AD1598" s="191"/>
      <c r="AF1598" s="191"/>
      <c r="AJ1598" s="189">
        <v>2.8622201411493902</v>
      </c>
      <c r="AK1598" s="208">
        <v>9</v>
      </c>
    </row>
    <row r="1599" spans="1:37" s="189" customFormat="1" ht="12" customHeight="1" x14ac:dyDescent="0.2">
      <c r="A1599" s="204"/>
      <c r="B1599" s="205" t="s">
        <v>68</v>
      </c>
      <c r="C1599" s="201" t="s">
        <v>346</v>
      </c>
      <c r="D1599" s="201"/>
      <c r="E1599" s="201"/>
      <c r="H1599" s="206"/>
      <c r="I1599" s="206"/>
      <c r="J1599" s="206"/>
      <c r="K1599" s="206"/>
      <c r="L1599" s="207">
        <v>1.712</v>
      </c>
      <c r="M1599" s="206"/>
      <c r="N1599" s="207">
        <v>0.1</v>
      </c>
      <c r="O1599" s="206" t="s">
        <v>329</v>
      </c>
      <c r="P1599" s="248">
        <f>AJ1599*AK1599</f>
        <v>11.448880564597561</v>
      </c>
      <c r="V1599" s="190"/>
      <c r="W1599" s="191"/>
      <c r="Y1599" s="203" t="s">
        <v>346</v>
      </c>
      <c r="AB1599" s="191"/>
      <c r="AD1599" s="191"/>
      <c r="AF1599" s="191"/>
      <c r="AJ1599" s="189">
        <v>2.8622201411493902</v>
      </c>
      <c r="AK1599" s="208">
        <v>4</v>
      </c>
    </row>
    <row r="1600" spans="1:37" s="189" customFormat="1" ht="12" customHeight="1" x14ac:dyDescent="0.2">
      <c r="A1600" s="204"/>
      <c r="B1600" s="205" t="s">
        <v>72</v>
      </c>
      <c r="C1600" s="201" t="s">
        <v>402</v>
      </c>
      <c r="D1600" s="201"/>
      <c r="E1600" s="201"/>
      <c r="H1600" s="206"/>
      <c r="I1600" s="206"/>
      <c r="J1600" s="206"/>
      <c r="K1600" s="206"/>
      <c r="L1600" s="207">
        <v>695.55</v>
      </c>
      <c r="M1600" s="206"/>
      <c r="N1600" s="207">
        <v>38.26</v>
      </c>
      <c r="O1600" s="206" t="s">
        <v>403</v>
      </c>
      <c r="P1600" s="248">
        <f>AJ1600*AK1600</f>
        <v>678.34617345240542</v>
      </c>
      <c r="V1600" s="190"/>
      <c r="W1600" s="191"/>
      <c r="Y1600" s="203" t="s">
        <v>402</v>
      </c>
      <c r="AB1600" s="191"/>
      <c r="AD1600" s="191"/>
      <c r="AF1600" s="191"/>
      <c r="AJ1600" s="189">
        <v>2.8622201411493902</v>
      </c>
      <c r="AK1600" s="208">
        <v>237</v>
      </c>
    </row>
    <row r="1601" spans="1:37" s="189" customFormat="1" ht="12" customHeight="1" x14ac:dyDescent="0.2">
      <c r="A1601" s="204"/>
      <c r="B1601" s="205"/>
      <c r="C1601" s="201" t="s">
        <v>330</v>
      </c>
      <c r="D1601" s="201"/>
      <c r="E1601" s="201"/>
      <c r="H1601" s="206" t="s">
        <v>331</v>
      </c>
      <c r="I1601" s="206" t="s">
        <v>289</v>
      </c>
      <c r="J1601" s="206"/>
      <c r="K1601" s="206" t="s">
        <v>423</v>
      </c>
      <c r="L1601" s="207"/>
      <c r="M1601" s="206"/>
      <c r="N1601" s="207"/>
      <c r="O1601" s="206"/>
      <c r="P1601" s="248"/>
      <c r="V1601" s="190"/>
      <c r="W1601" s="191"/>
      <c r="Z1601" s="203" t="s">
        <v>330</v>
      </c>
      <c r="AB1601" s="191"/>
      <c r="AD1601" s="191"/>
      <c r="AF1601" s="191"/>
      <c r="AJ1601" s="189">
        <v>2.8622201411493902</v>
      </c>
      <c r="AK1601" s="208"/>
    </row>
    <row r="1602" spans="1:37" s="189" customFormat="1" ht="12" customHeight="1" x14ac:dyDescent="0.2">
      <c r="A1602" s="204"/>
      <c r="B1602" s="205"/>
      <c r="C1602" s="201" t="s">
        <v>349</v>
      </c>
      <c r="D1602" s="201"/>
      <c r="E1602" s="201"/>
      <c r="H1602" s="206" t="s">
        <v>331</v>
      </c>
      <c r="I1602" s="206" t="s">
        <v>424</v>
      </c>
      <c r="J1602" s="206"/>
      <c r="K1602" s="206" t="s">
        <v>425</v>
      </c>
      <c r="L1602" s="207"/>
      <c r="M1602" s="206"/>
      <c r="N1602" s="207"/>
      <c r="O1602" s="206"/>
      <c r="P1602" s="248"/>
      <c r="V1602" s="190"/>
      <c r="W1602" s="191"/>
      <c r="Z1602" s="203" t="s">
        <v>349</v>
      </c>
      <c r="AB1602" s="191"/>
      <c r="AD1602" s="191"/>
      <c r="AF1602" s="191"/>
      <c r="AJ1602" s="189">
        <v>2.8622201411493902</v>
      </c>
      <c r="AK1602" s="208"/>
    </row>
    <row r="1603" spans="1:37" s="189" customFormat="1" ht="12" customHeight="1" x14ac:dyDescent="0.2">
      <c r="A1603" s="204"/>
      <c r="B1603" s="205"/>
      <c r="C1603" s="209" t="s">
        <v>334</v>
      </c>
      <c r="D1603" s="209"/>
      <c r="E1603" s="209"/>
      <c r="F1603" s="234"/>
      <c r="G1603" s="234"/>
      <c r="H1603" s="210"/>
      <c r="I1603" s="210"/>
      <c r="J1603" s="210"/>
      <c r="K1603" s="210"/>
      <c r="L1603" s="211">
        <v>1202</v>
      </c>
      <c r="M1603" s="210"/>
      <c r="N1603" s="211">
        <v>66.11</v>
      </c>
      <c r="O1603" s="210"/>
      <c r="P1603" s="197"/>
      <c r="V1603" s="190"/>
      <c r="W1603" s="191"/>
      <c r="AA1603" s="203" t="s">
        <v>334</v>
      </c>
      <c r="AB1603" s="191"/>
      <c r="AD1603" s="191"/>
      <c r="AF1603" s="191"/>
      <c r="AJ1603" s="189">
        <v>2.8622201411493902</v>
      </c>
      <c r="AK1603" s="212"/>
    </row>
    <row r="1604" spans="1:37" s="189" customFormat="1" ht="12" customHeight="1" x14ac:dyDescent="0.2">
      <c r="A1604" s="204"/>
      <c r="B1604" s="205"/>
      <c r="C1604" s="201" t="s">
        <v>57</v>
      </c>
      <c r="D1604" s="201"/>
      <c r="E1604" s="201"/>
      <c r="H1604" s="206"/>
      <c r="I1604" s="206"/>
      <c r="J1604" s="206"/>
      <c r="K1604" s="206"/>
      <c r="L1604" s="207"/>
      <c r="M1604" s="206"/>
      <c r="N1604" s="207">
        <v>27.16</v>
      </c>
      <c r="O1604" s="206"/>
      <c r="P1604" s="248">
        <f>AJ1604*AK1604</f>
        <v>2827.8734994555975</v>
      </c>
      <c r="V1604" s="190"/>
      <c r="W1604" s="191"/>
      <c r="Z1604" s="203" t="s">
        <v>57</v>
      </c>
      <c r="AB1604" s="191"/>
      <c r="AD1604" s="191"/>
      <c r="AF1604" s="191"/>
      <c r="AJ1604" s="189">
        <v>2.8622201411493902</v>
      </c>
      <c r="AK1604" s="208">
        <v>988</v>
      </c>
    </row>
    <row r="1605" spans="1:37" s="189" customFormat="1" ht="12" customHeight="1" x14ac:dyDescent="0.2">
      <c r="A1605" s="204"/>
      <c r="B1605" s="205" t="s">
        <v>408</v>
      </c>
      <c r="C1605" s="201" t="s">
        <v>59</v>
      </c>
      <c r="D1605" s="201"/>
      <c r="E1605" s="201"/>
      <c r="H1605" s="206" t="s">
        <v>60</v>
      </c>
      <c r="I1605" s="206" t="s">
        <v>409</v>
      </c>
      <c r="J1605" s="206" t="s">
        <v>410</v>
      </c>
      <c r="K1605" s="206" t="s">
        <v>337</v>
      </c>
      <c r="L1605" s="207"/>
      <c r="M1605" s="206"/>
      <c r="N1605" s="207">
        <v>24.44</v>
      </c>
      <c r="O1605" s="206"/>
      <c r="P1605" s="248">
        <f>AJ1605*AK1605</f>
        <v>2544.5137054818078</v>
      </c>
      <c r="V1605" s="190"/>
      <c r="W1605" s="191"/>
      <c r="Z1605" s="203" t="s">
        <v>59</v>
      </c>
      <c r="AB1605" s="191"/>
      <c r="AD1605" s="191"/>
      <c r="AF1605" s="191"/>
      <c r="AJ1605" s="189">
        <v>2.8622201411493902</v>
      </c>
      <c r="AK1605" s="208">
        <v>889</v>
      </c>
    </row>
    <row r="1606" spans="1:37" s="189" customFormat="1" ht="12" customHeight="1" x14ac:dyDescent="0.2">
      <c r="A1606" s="204"/>
      <c r="B1606" s="205" t="s">
        <v>411</v>
      </c>
      <c r="C1606" s="201" t="s">
        <v>62</v>
      </c>
      <c r="D1606" s="201"/>
      <c r="E1606" s="201"/>
      <c r="H1606" s="206" t="s">
        <v>60</v>
      </c>
      <c r="I1606" s="206" t="s">
        <v>248</v>
      </c>
      <c r="J1606" s="206" t="s">
        <v>412</v>
      </c>
      <c r="K1606" s="206" t="s">
        <v>413</v>
      </c>
      <c r="L1606" s="207"/>
      <c r="M1606" s="206"/>
      <c r="N1606" s="207">
        <v>11.31</v>
      </c>
      <c r="O1606" s="206"/>
      <c r="P1606" s="248">
        <f>AJ1606*AK1606</f>
        <v>1179.2346981535488</v>
      </c>
      <c r="V1606" s="190"/>
      <c r="W1606" s="191"/>
      <c r="Z1606" s="203" t="s">
        <v>62</v>
      </c>
      <c r="AB1606" s="191"/>
      <c r="AD1606" s="191"/>
      <c r="AF1606" s="191"/>
      <c r="AJ1606" s="189">
        <v>2.8622201411493902</v>
      </c>
      <c r="AK1606" s="208">
        <v>412</v>
      </c>
    </row>
    <row r="1607" spans="1:37" s="189" customFormat="1" ht="12" customHeight="1" x14ac:dyDescent="0.2">
      <c r="A1607" s="213"/>
      <c r="B1607" s="214"/>
      <c r="C1607" s="194" t="s">
        <v>63</v>
      </c>
      <c r="D1607" s="194"/>
      <c r="E1607" s="194"/>
      <c r="F1607" s="234"/>
      <c r="G1607" s="234"/>
      <c r="H1607" s="195"/>
      <c r="I1607" s="195"/>
      <c r="J1607" s="195"/>
      <c r="K1607" s="195"/>
      <c r="L1607" s="196"/>
      <c r="M1607" s="195"/>
      <c r="N1607" s="196">
        <v>101.71599999999999</v>
      </c>
      <c r="O1607" s="210"/>
      <c r="P1607" s="197">
        <f>AJ1607*AK1607</f>
        <v>7244.2791772491064</v>
      </c>
      <c r="V1607" s="190"/>
      <c r="W1607" s="191"/>
      <c r="AB1607" s="191" t="s">
        <v>63</v>
      </c>
      <c r="AD1607" s="191"/>
      <c r="AF1607" s="191"/>
      <c r="AJ1607" s="189">
        <v>2.8622201411493902</v>
      </c>
      <c r="AK1607" s="198">
        <v>2531</v>
      </c>
    </row>
    <row r="1608" spans="1:37" s="189" customFormat="1" ht="12" customHeight="1" x14ac:dyDescent="0.2">
      <c r="A1608" s="192">
        <v>401</v>
      </c>
      <c r="B1608" s="193" t="s">
        <v>426</v>
      </c>
      <c r="C1608" s="194" t="s">
        <v>427</v>
      </c>
      <c r="D1608" s="194"/>
      <c r="E1608" s="194"/>
      <c r="F1608" s="234"/>
      <c r="G1608" s="234"/>
      <c r="H1608" s="195" t="s">
        <v>71</v>
      </c>
      <c r="I1608" s="195"/>
      <c r="J1608" s="195"/>
      <c r="K1608" s="195" t="s">
        <v>428</v>
      </c>
      <c r="L1608" s="196">
        <v>8505</v>
      </c>
      <c r="M1608" s="195"/>
      <c r="N1608" s="196">
        <v>15.44</v>
      </c>
      <c r="O1608" s="195" t="s">
        <v>403</v>
      </c>
      <c r="P1608" s="197">
        <f>AJ1608*AK1608</f>
        <v>274.77313355034147</v>
      </c>
      <c r="V1608" s="190"/>
      <c r="W1608" s="191" t="s">
        <v>427</v>
      </c>
      <c r="AB1608" s="191"/>
      <c r="AD1608" s="191"/>
      <c r="AF1608" s="191"/>
      <c r="AJ1608" s="189">
        <v>2.8622201411493902</v>
      </c>
      <c r="AK1608" s="198">
        <v>96</v>
      </c>
    </row>
    <row r="1609" spans="1:37" s="189" customFormat="1" ht="12" customHeight="1" x14ac:dyDescent="0.2">
      <c r="A1609" s="192">
        <v>402</v>
      </c>
      <c r="B1609" s="193" t="s">
        <v>417</v>
      </c>
      <c r="C1609" s="194" t="s">
        <v>418</v>
      </c>
      <c r="D1609" s="194"/>
      <c r="E1609" s="194"/>
      <c r="F1609" s="234"/>
      <c r="G1609" s="234"/>
      <c r="H1609" s="195" t="s">
        <v>419</v>
      </c>
      <c r="I1609" s="195"/>
      <c r="J1609" s="195"/>
      <c r="K1609" s="195" t="s">
        <v>429</v>
      </c>
      <c r="L1609" s="196">
        <v>9.14</v>
      </c>
      <c r="M1609" s="195"/>
      <c r="N1609" s="196">
        <v>11.06</v>
      </c>
      <c r="O1609" s="195" t="s">
        <v>403</v>
      </c>
      <c r="P1609" s="197">
        <f>AJ1609*AK1609-0.03</f>
        <v>197.46318973930792</v>
      </c>
      <c r="V1609" s="190"/>
      <c r="W1609" s="191" t="s">
        <v>418</v>
      </c>
      <c r="AB1609" s="191"/>
      <c r="AD1609" s="191"/>
      <c r="AF1609" s="191"/>
      <c r="AJ1609" s="189">
        <v>2.8622201411493902</v>
      </c>
      <c r="AK1609" s="198">
        <v>69</v>
      </c>
    </row>
    <row r="1610" spans="1:37" s="189" customFormat="1" ht="12" customHeight="1" x14ac:dyDescent="0.2">
      <c r="A1610" s="199"/>
      <c r="B1610" s="200"/>
      <c r="C1610" s="201" t="s">
        <v>430</v>
      </c>
      <c r="D1610" s="201"/>
      <c r="E1610" s="201"/>
      <c r="F1610" s="201"/>
      <c r="G1610" s="201"/>
      <c r="H1610" s="201"/>
      <c r="I1610" s="201"/>
      <c r="J1610" s="201"/>
      <c r="K1610" s="201"/>
      <c r="L1610" s="201"/>
      <c r="M1610" s="201"/>
      <c r="N1610" s="201"/>
      <c r="O1610" s="232"/>
      <c r="P1610" s="290"/>
      <c r="V1610" s="190"/>
      <c r="W1610" s="191"/>
      <c r="X1610" s="203" t="s">
        <v>430</v>
      </c>
      <c r="AB1610" s="191"/>
      <c r="AD1610" s="191"/>
      <c r="AF1610" s="191"/>
      <c r="AJ1610" s="189">
        <v>2.8622201411493902</v>
      </c>
    </row>
    <row r="1611" spans="1:37" s="189" customFormat="1" ht="12" customHeight="1" x14ac:dyDescent="0.2">
      <c r="A1611" s="219" t="s">
        <v>94</v>
      </c>
      <c r="B1611" s="219"/>
      <c r="C1611" s="219"/>
      <c r="D1611" s="219"/>
      <c r="E1611" s="219"/>
      <c r="F1611" s="219"/>
      <c r="G1611" s="219"/>
      <c r="H1611" s="219"/>
      <c r="I1611" s="219"/>
      <c r="J1611" s="219"/>
      <c r="K1611" s="219"/>
      <c r="L1611" s="219"/>
      <c r="M1611" s="219"/>
      <c r="N1611" s="219"/>
      <c r="P1611" s="288"/>
      <c r="V1611" s="190"/>
      <c r="W1611" s="191"/>
      <c r="AB1611" s="191"/>
      <c r="AD1611" s="191" t="s">
        <v>94</v>
      </c>
      <c r="AF1611" s="191"/>
      <c r="AJ1611" s="189">
        <v>2.8622201411493902</v>
      </c>
    </row>
    <row r="1612" spans="1:37" s="189" customFormat="1" ht="12" customHeight="1" x14ac:dyDescent="0.2">
      <c r="A1612" s="213">
        <v>403</v>
      </c>
      <c r="B1612" s="214" t="s">
        <v>431</v>
      </c>
      <c r="C1612" s="244" t="s">
        <v>108</v>
      </c>
      <c r="D1612" s="244"/>
      <c r="E1612" s="244"/>
      <c r="H1612" s="221" t="s">
        <v>55</v>
      </c>
      <c r="I1612" s="221"/>
      <c r="J1612" s="221"/>
      <c r="K1612" s="221">
        <f>((2.14+0.86)*2*3-0.6*2.05)/100</f>
        <v>0.16769999999999999</v>
      </c>
      <c r="L1612" s="245"/>
      <c r="M1612" s="221"/>
      <c r="N1612" s="245"/>
      <c r="O1612" s="195"/>
      <c r="P1612" s="197"/>
      <c r="V1612" s="190"/>
      <c r="W1612" s="191" t="s">
        <v>108</v>
      </c>
      <c r="AB1612" s="191"/>
      <c r="AD1612" s="191"/>
      <c r="AF1612" s="191"/>
      <c r="AJ1612" s="189">
        <v>2.8622201411493902</v>
      </c>
      <c r="AK1612" s="198"/>
    </row>
    <row r="1613" spans="1:37" s="189" customFormat="1" ht="12" customHeight="1" x14ac:dyDescent="0.2">
      <c r="A1613" s="199"/>
      <c r="B1613" s="200"/>
      <c r="C1613" s="201" t="s">
        <v>432</v>
      </c>
      <c r="D1613" s="201"/>
      <c r="E1613" s="201"/>
      <c r="F1613" s="201"/>
      <c r="G1613" s="201"/>
      <c r="H1613" s="201"/>
      <c r="I1613" s="201"/>
      <c r="J1613" s="201"/>
      <c r="K1613" s="201"/>
      <c r="L1613" s="201"/>
      <c r="M1613" s="201"/>
      <c r="N1613" s="201"/>
      <c r="P1613" s="288"/>
      <c r="V1613" s="190"/>
      <c r="W1613" s="191"/>
      <c r="X1613" s="203" t="s">
        <v>376</v>
      </c>
      <c r="AB1613" s="191"/>
      <c r="AD1613" s="191"/>
      <c r="AF1613" s="191"/>
      <c r="AJ1613" s="189">
        <v>2.8622201411493902</v>
      </c>
    </row>
    <row r="1614" spans="1:37" s="189" customFormat="1" ht="12" customHeight="1" x14ac:dyDescent="0.2">
      <c r="A1614" s="204"/>
      <c r="B1614" s="205" t="s">
        <v>52</v>
      </c>
      <c r="C1614" s="201" t="s">
        <v>328</v>
      </c>
      <c r="D1614" s="201"/>
      <c r="E1614" s="201"/>
      <c r="H1614" s="206"/>
      <c r="I1614" s="206"/>
      <c r="J1614" s="206"/>
      <c r="K1614" s="206"/>
      <c r="L1614" s="207">
        <v>56.26</v>
      </c>
      <c r="M1614" s="206"/>
      <c r="N1614" s="207">
        <v>14.41</v>
      </c>
      <c r="O1614" s="206" t="s">
        <v>329</v>
      </c>
      <c r="P1614" s="248">
        <f>AJ1614*AK1614</f>
        <v>1499.8033539622804</v>
      </c>
      <c r="V1614" s="190"/>
      <c r="W1614" s="191"/>
      <c r="Y1614" s="203" t="s">
        <v>328</v>
      </c>
      <c r="AB1614" s="191"/>
      <c r="AD1614" s="191"/>
      <c r="AF1614" s="191"/>
      <c r="AJ1614" s="189">
        <v>2.8622201411493902</v>
      </c>
      <c r="AK1614" s="208">
        <v>524</v>
      </c>
    </row>
    <row r="1615" spans="1:37" s="189" customFormat="1" ht="12" customHeight="1" x14ac:dyDescent="0.2">
      <c r="A1615" s="204"/>
      <c r="B1615" s="205" t="s">
        <v>64</v>
      </c>
      <c r="C1615" s="201" t="s">
        <v>344</v>
      </c>
      <c r="D1615" s="201"/>
      <c r="E1615" s="201"/>
      <c r="H1615" s="206"/>
      <c r="I1615" s="206"/>
      <c r="J1615" s="206"/>
      <c r="K1615" s="206"/>
      <c r="L1615" s="207">
        <v>1.17</v>
      </c>
      <c r="M1615" s="206"/>
      <c r="N1615" s="207">
        <v>0.3</v>
      </c>
      <c r="O1615" s="206" t="s">
        <v>345</v>
      </c>
      <c r="P1615" s="248">
        <f>AJ1615*AK1615</f>
        <v>8.5866604234481709</v>
      </c>
      <c r="V1615" s="190"/>
      <c r="W1615" s="191"/>
      <c r="Y1615" s="203" t="s">
        <v>344</v>
      </c>
      <c r="AB1615" s="191"/>
      <c r="AD1615" s="191"/>
      <c r="AF1615" s="191"/>
      <c r="AJ1615" s="189">
        <v>2.8622201411493902</v>
      </c>
      <c r="AK1615" s="208">
        <v>3</v>
      </c>
    </row>
    <row r="1616" spans="1:37" s="189" customFormat="1" ht="12" customHeight="1" x14ac:dyDescent="0.2">
      <c r="A1616" s="204"/>
      <c r="B1616" s="205" t="s">
        <v>68</v>
      </c>
      <c r="C1616" s="201" t="s">
        <v>346</v>
      </c>
      <c r="D1616" s="201"/>
      <c r="E1616" s="201"/>
      <c r="H1616" s="206"/>
      <c r="I1616" s="206"/>
      <c r="J1616" s="206"/>
      <c r="K1616" s="206"/>
      <c r="L1616" s="207">
        <v>0.22</v>
      </c>
      <c r="M1616" s="206"/>
      <c r="N1616" s="207">
        <v>0.06</v>
      </c>
      <c r="O1616" s="206" t="s">
        <v>329</v>
      </c>
      <c r="P1616" s="248">
        <f>AJ1616*AK1616</f>
        <v>5.7244402822987803</v>
      </c>
      <c r="V1616" s="190"/>
      <c r="W1616" s="191"/>
      <c r="Y1616" s="203" t="s">
        <v>346</v>
      </c>
      <c r="AB1616" s="191"/>
      <c r="AD1616" s="191"/>
      <c r="AF1616" s="191"/>
      <c r="AJ1616" s="189">
        <v>2.8622201411493902</v>
      </c>
      <c r="AK1616" s="208">
        <v>2</v>
      </c>
    </row>
    <row r="1617" spans="1:37" s="189" customFormat="1" ht="12" customHeight="1" x14ac:dyDescent="0.2">
      <c r="A1617" s="204"/>
      <c r="B1617" s="205" t="s">
        <v>72</v>
      </c>
      <c r="C1617" s="201" t="s">
        <v>402</v>
      </c>
      <c r="D1617" s="201"/>
      <c r="E1617" s="201"/>
      <c r="H1617" s="206"/>
      <c r="I1617" s="206"/>
      <c r="J1617" s="206"/>
      <c r="K1617" s="206"/>
      <c r="L1617" s="207">
        <v>0.17</v>
      </c>
      <c r="M1617" s="206"/>
      <c r="N1617" s="207">
        <v>0.04</v>
      </c>
      <c r="O1617" s="206" t="s">
        <v>403</v>
      </c>
      <c r="P1617" s="248"/>
      <c r="V1617" s="190"/>
      <c r="W1617" s="191"/>
      <c r="Y1617" s="203" t="s">
        <v>402</v>
      </c>
      <c r="AB1617" s="191"/>
      <c r="AD1617" s="191"/>
      <c r="AF1617" s="191"/>
      <c r="AJ1617" s="189">
        <v>2.8622201411493902</v>
      </c>
      <c r="AK1617" s="208"/>
    </row>
    <row r="1618" spans="1:37" s="189" customFormat="1" ht="12" customHeight="1" x14ac:dyDescent="0.2">
      <c r="A1618" s="204"/>
      <c r="B1618" s="205"/>
      <c r="C1618" s="201" t="s">
        <v>330</v>
      </c>
      <c r="D1618" s="201"/>
      <c r="E1618" s="201"/>
      <c r="H1618" s="206" t="s">
        <v>331</v>
      </c>
      <c r="I1618" s="206" t="s">
        <v>433</v>
      </c>
      <c r="J1618" s="206"/>
      <c r="K1618" s="206" t="s">
        <v>434</v>
      </c>
      <c r="L1618" s="207"/>
      <c r="M1618" s="206"/>
      <c r="N1618" s="207"/>
      <c r="O1618" s="206"/>
      <c r="P1618" s="248"/>
      <c r="V1618" s="190"/>
      <c r="W1618" s="191"/>
      <c r="Z1618" s="203" t="s">
        <v>330</v>
      </c>
      <c r="AB1618" s="191"/>
      <c r="AD1618" s="191"/>
      <c r="AF1618" s="191"/>
      <c r="AJ1618" s="189">
        <v>2.8622201411493902</v>
      </c>
      <c r="AK1618" s="208"/>
    </row>
    <row r="1619" spans="1:37" s="189" customFormat="1" ht="12" customHeight="1" x14ac:dyDescent="0.2">
      <c r="A1619" s="204"/>
      <c r="B1619" s="205"/>
      <c r="C1619" s="201" t="s">
        <v>349</v>
      </c>
      <c r="D1619" s="201"/>
      <c r="E1619" s="201"/>
      <c r="F1619" s="232"/>
      <c r="G1619" s="232"/>
      <c r="H1619" s="206" t="s">
        <v>331</v>
      </c>
      <c r="I1619" s="206" t="s">
        <v>435</v>
      </c>
      <c r="J1619" s="206"/>
      <c r="K1619" s="206" t="s">
        <v>436</v>
      </c>
      <c r="L1619" s="207"/>
      <c r="M1619" s="206"/>
      <c r="N1619" s="207"/>
      <c r="O1619" s="206"/>
      <c r="P1619" s="248"/>
      <c r="V1619" s="190"/>
      <c r="W1619" s="191"/>
      <c r="Z1619" s="203" t="s">
        <v>349</v>
      </c>
      <c r="AB1619" s="191"/>
      <c r="AD1619" s="191"/>
      <c r="AF1619" s="191"/>
      <c r="AJ1619" s="189">
        <v>2.8622201411493902</v>
      </c>
      <c r="AK1619" s="208"/>
    </row>
    <row r="1620" spans="1:37" s="189" customFormat="1" ht="12" customHeight="1" x14ac:dyDescent="0.2">
      <c r="A1620" s="204"/>
      <c r="B1620" s="205"/>
      <c r="C1620" s="209" t="s">
        <v>334</v>
      </c>
      <c r="D1620" s="209"/>
      <c r="E1620" s="209"/>
      <c r="H1620" s="210"/>
      <c r="I1620" s="210"/>
      <c r="J1620" s="210"/>
      <c r="K1620" s="210"/>
      <c r="L1620" s="211">
        <v>57.6</v>
      </c>
      <c r="M1620" s="210"/>
      <c r="N1620" s="211">
        <v>14.75</v>
      </c>
      <c r="O1620" s="210"/>
      <c r="P1620" s="197"/>
      <c r="V1620" s="190"/>
      <c r="W1620" s="191"/>
      <c r="AA1620" s="203" t="s">
        <v>334</v>
      </c>
      <c r="AB1620" s="191"/>
      <c r="AD1620" s="191"/>
      <c r="AF1620" s="191"/>
      <c r="AJ1620" s="189">
        <v>2.8622201411493902</v>
      </c>
      <c r="AK1620" s="212"/>
    </row>
    <row r="1621" spans="1:37" s="189" customFormat="1" ht="12" customHeight="1" x14ac:dyDescent="0.2">
      <c r="A1621" s="204"/>
      <c r="B1621" s="205"/>
      <c r="C1621" s="201" t="s">
        <v>57</v>
      </c>
      <c r="D1621" s="201"/>
      <c r="E1621" s="201"/>
      <c r="H1621" s="206"/>
      <c r="I1621" s="206"/>
      <c r="J1621" s="206"/>
      <c r="K1621" s="206"/>
      <c r="L1621" s="207"/>
      <c r="M1621" s="206"/>
      <c r="N1621" s="207">
        <v>14.47</v>
      </c>
      <c r="O1621" s="206"/>
      <c r="P1621" s="248">
        <f>AJ1621*AK1621</f>
        <v>1505.5277942445791</v>
      </c>
      <c r="V1621" s="190"/>
      <c r="W1621" s="191"/>
      <c r="Z1621" s="203" t="s">
        <v>57</v>
      </c>
      <c r="AB1621" s="191"/>
      <c r="AD1621" s="191"/>
      <c r="AF1621" s="191"/>
      <c r="AJ1621" s="189">
        <v>2.8622201411493902</v>
      </c>
      <c r="AK1621" s="208">
        <v>526</v>
      </c>
    </row>
    <row r="1622" spans="1:37" s="189" customFormat="1" ht="12" customHeight="1" x14ac:dyDescent="0.2">
      <c r="A1622" s="204"/>
      <c r="B1622" s="205" t="s">
        <v>408</v>
      </c>
      <c r="C1622" s="201" t="s">
        <v>59</v>
      </c>
      <c r="D1622" s="201"/>
      <c r="E1622" s="201"/>
      <c r="H1622" s="206" t="s">
        <v>60</v>
      </c>
      <c r="I1622" s="206" t="s">
        <v>409</v>
      </c>
      <c r="J1622" s="206" t="s">
        <v>410</v>
      </c>
      <c r="K1622" s="206" t="s">
        <v>337</v>
      </c>
      <c r="L1622" s="207"/>
      <c r="M1622" s="206"/>
      <c r="N1622" s="207">
        <v>13.02</v>
      </c>
      <c r="O1622" s="206"/>
      <c r="P1622" s="248">
        <f>AJ1622*AK1622</f>
        <v>1353.8301267636616</v>
      </c>
      <c r="V1622" s="190"/>
      <c r="W1622" s="191"/>
      <c r="Z1622" s="203" t="s">
        <v>59</v>
      </c>
      <c r="AB1622" s="191"/>
      <c r="AD1622" s="191"/>
      <c r="AF1622" s="191"/>
      <c r="AJ1622" s="189">
        <v>2.8622201411493902</v>
      </c>
      <c r="AK1622" s="208">
        <v>473</v>
      </c>
    </row>
    <row r="1623" spans="1:37" s="189" customFormat="1" ht="12" customHeight="1" x14ac:dyDescent="0.2">
      <c r="A1623" s="204"/>
      <c r="B1623" s="205" t="s">
        <v>411</v>
      </c>
      <c r="C1623" s="201" t="s">
        <v>62</v>
      </c>
      <c r="D1623" s="201"/>
      <c r="E1623" s="201"/>
      <c r="F1623" s="232"/>
      <c r="G1623" s="232"/>
      <c r="H1623" s="206" t="s">
        <v>60</v>
      </c>
      <c r="I1623" s="206" t="s">
        <v>248</v>
      </c>
      <c r="J1623" s="206" t="s">
        <v>412</v>
      </c>
      <c r="K1623" s="206" t="s">
        <v>413</v>
      </c>
      <c r="L1623" s="207"/>
      <c r="M1623" s="206"/>
      <c r="N1623" s="207">
        <v>6.03</v>
      </c>
      <c r="O1623" s="206"/>
      <c r="P1623" s="248">
        <f>AJ1623*AK1623</f>
        <v>626.82621091171643</v>
      </c>
      <c r="V1623" s="190"/>
      <c r="W1623" s="191"/>
      <c r="Z1623" s="203" t="s">
        <v>62</v>
      </c>
      <c r="AB1623" s="191"/>
      <c r="AD1623" s="191"/>
      <c r="AF1623" s="191"/>
      <c r="AJ1623" s="189">
        <v>2.8622201411493902</v>
      </c>
      <c r="AK1623" s="208">
        <v>219</v>
      </c>
    </row>
    <row r="1624" spans="1:37" s="189" customFormat="1" ht="12" customHeight="1" x14ac:dyDescent="0.2">
      <c r="A1624" s="213"/>
      <c r="B1624" s="214"/>
      <c r="C1624" s="194" t="s">
        <v>63</v>
      </c>
      <c r="D1624" s="194"/>
      <c r="E1624" s="194"/>
      <c r="H1624" s="195"/>
      <c r="I1624" s="195"/>
      <c r="J1624" s="195"/>
      <c r="K1624" s="195"/>
      <c r="L1624" s="196"/>
      <c r="M1624" s="195"/>
      <c r="N1624" s="196">
        <v>33.799999999999997</v>
      </c>
      <c r="O1624" s="210"/>
      <c r="P1624" s="197">
        <f>AJ1624*AK1624</f>
        <v>3489.0463520611065</v>
      </c>
      <c r="V1624" s="190"/>
      <c r="W1624" s="191"/>
      <c r="AB1624" s="191" t="s">
        <v>63</v>
      </c>
      <c r="AD1624" s="191"/>
      <c r="AF1624" s="191"/>
      <c r="AJ1624" s="189">
        <v>2.8622201411493902</v>
      </c>
      <c r="AK1624" s="198">
        <v>1219</v>
      </c>
    </row>
    <row r="1625" spans="1:37" s="189" customFormat="1" ht="12" customHeight="1" x14ac:dyDescent="0.2">
      <c r="A1625" s="192">
        <v>404</v>
      </c>
      <c r="B1625" s="193" t="s">
        <v>417</v>
      </c>
      <c r="C1625" s="194" t="s">
        <v>418</v>
      </c>
      <c r="D1625" s="194"/>
      <c r="E1625" s="194"/>
      <c r="F1625" s="234"/>
      <c r="G1625" s="234"/>
      <c r="H1625" s="195" t="s">
        <v>419</v>
      </c>
      <c r="I1625" s="195"/>
      <c r="J1625" s="195"/>
      <c r="K1625" s="195" t="s">
        <v>437</v>
      </c>
      <c r="L1625" s="196">
        <v>9.14</v>
      </c>
      <c r="M1625" s="195"/>
      <c r="N1625" s="196">
        <v>30.43</v>
      </c>
      <c r="O1625" s="195" t="s">
        <v>403</v>
      </c>
      <c r="P1625" s="197">
        <f>AJ1625*AK1625</f>
        <v>540.95960667723477</v>
      </c>
      <c r="V1625" s="190"/>
      <c r="W1625" s="191" t="s">
        <v>418</v>
      </c>
      <c r="AB1625" s="191"/>
      <c r="AD1625" s="191"/>
      <c r="AF1625" s="191"/>
      <c r="AJ1625" s="189">
        <v>2.8622201411493902</v>
      </c>
      <c r="AK1625" s="198">
        <v>189</v>
      </c>
    </row>
    <row r="1626" spans="1:37" s="189" customFormat="1" ht="12" customHeight="1" x14ac:dyDescent="0.2">
      <c r="A1626" s="199"/>
      <c r="B1626" s="200"/>
      <c r="C1626" s="243" t="s">
        <v>438</v>
      </c>
      <c r="D1626" s="243"/>
      <c r="E1626" s="243"/>
      <c r="F1626" s="243"/>
      <c r="G1626" s="243"/>
      <c r="H1626" s="243"/>
      <c r="I1626" s="243"/>
      <c r="J1626" s="243"/>
      <c r="K1626" s="243"/>
      <c r="L1626" s="243"/>
      <c r="M1626" s="243"/>
      <c r="N1626" s="243"/>
      <c r="P1626" s="288"/>
      <c r="V1626" s="190"/>
      <c r="W1626" s="191"/>
      <c r="X1626" s="203" t="s">
        <v>438</v>
      </c>
      <c r="AB1626" s="191"/>
      <c r="AD1626" s="191"/>
      <c r="AF1626" s="191"/>
      <c r="AJ1626" s="189">
        <v>2.8622201411493902</v>
      </c>
    </row>
    <row r="1627" spans="1:37" s="189" customFormat="1" ht="12" customHeight="1" x14ac:dyDescent="0.2">
      <c r="A1627" s="192">
        <v>405</v>
      </c>
      <c r="B1627" s="193" t="s">
        <v>439</v>
      </c>
      <c r="C1627" s="244" t="s">
        <v>114</v>
      </c>
      <c r="D1627" s="244"/>
      <c r="E1627" s="244"/>
      <c r="H1627" s="221" t="s">
        <v>55</v>
      </c>
      <c r="I1627" s="221"/>
      <c r="J1627" s="221"/>
      <c r="K1627" s="221">
        <f>K1612</f>
        <v>0.16769999999999999</v>
      </c>
      <c r="L1627" s="245"/>
      <c r="M1627" s="221"/>
      <c r="N1627" s="245"/>
      <c r="O1627" s="195"/>
      <c r="P1627" s="197"/>
      <c r="V1627" s="190"/>
      <c r="W1627" s="191" t="s">
        <v>114</v>
      </c>
      <c r="AB1627" s="191"/>
      <c r="AD1627" s="191"/>
      <c r="AF1627" s="191"/>
      <c r="AJ1627" s="189">
        <v>2.8622201411493902</v>
      </c>
      <c r="AK1627" s="198"/>
    </row>
    <row r="1628" spans="1:37" s="189" customFormat="1" ht="12" customHeight="1" x14ac:dyDescent="0.2">
      <c r="A1628" s="199"/>
      <c r="B1628" s="200"/>
      <c r="C1628" s="201" t="s">
        <v>440</v>
      </c>
      <c r="D1628" s="201"/>
      <c r="E1628" s="201"/>
      <c r="F1628" s="201"/>
      <c r="G1628" s="201"/>
      <c r="H1628" s="201"/>
      <c r="I1628" s="201"/>
      <c r="J1628" s="201"/>
      <c r="K1628" s="201"/>
      <c r="L1628" s="201"/>
      <c r="M1628" s="201"/>
      <c r="N1628" s="201"/>
      <c r="P1628" s="288"/>
      <c r="V1628" s="190"/>
      <c r="W1628" s="191"/>
      <c r="X1628" s="203" t="s">
        <v>441</v>
      </c>
      <c r="AB1628" s="191"/>
      <c r="AD1628" s="191"/>
      <c r="AF1628" s="191"/>
      <c r="AJ1628" s="189">
        <v>2.8622201411493902</v>
      </c>
    </row>
    <row r="1629" spans="1:37" s="189" customFormat="1" ht="12" customHeight="1" x14ac:dyDescent="0.2">
      <c r="A1629" s="204"/>
      <c r="B1629" s="205" t="s">
        <v>52</v>
      </c>
      <c r="C1629" s="201" t="s">
        <v>328</v>
      </c>
      <c r="D1629" s="201"/>
      <c r="E1629" s="201"/>
      <c r="H1629" s="206"/>
      <c r="I1629" s="206"/>
      <c r="J1629" s="206"/>
      <c r="K1629" s="206"/>
      <c r="L1629" s="207">
        <v>247.25</v>
      </c>
      <c r="M1629" s="206"/>
      <c r="N1629" s="207">
        <v>63.32</v>
      </c>
      <c r="O1629" s="206" t="s">
        <v>329</v>
      </c>
      <c r="P1629" s="248">
        <f>AJ1629*AK1629</f>
        <v>6594.5552052081948</v>
      </c>
      <c r="V1629" s="190"/>
      <c r="W1629" s="191"/>
      <c r="Y1629" s="203" t="s">
        <v>328</v>
      </c>
      <c r="AB1629" s="191"/>
      <c r="AD1629" s="191"/>
      <c r="AF1629" s="191"/>
      <c r="AJ1629" s="189">
        <v>2.8622201411493902</v>
      </c>
      <c r="AK1629" s="208">
        <v>2304</v>
      </c>
    </row>
    <row r="1630" spans="1:37" s="189" customFormat="1" ht="12" customHeight="1" x14ac:dyDescent="0.2">
      <c r="A1630" s="204"/>
      <c r="B1630" s="205" t="s">
        <v>64</v>
      </c>
      <c r="C1630" s="201" t="s">
        <v>344</v>
      </c>
      <c r="D1630" s="201"/>
      <c r="E1630" s="201"/>
      <c r="H1630" s="206"/>
      <c r="I1630" s="206"/>
      <c r="J1630" s="206"/>
      <c r="K1630" s="206"/>
      <c r="L1630" s="207">
        <v>15.99</v>
      </c>
      <c r="M1630" s="206"/>
      <c r="N1630" s="207">
        <v>4.0999999999999996</v>
      </c>
      <c r="O1630" s="206" t="s">
        <v>345</v>
      </c>
      <c r="P1630" s="248">
        <f>AJ1630*AK1630</f>
        <v>125.93768621057316</v>
      </c>
      <c r="V1630" s="190"/>
      <c r="W1630" s="191"/>
      <c r="Y1630" s="203" t="s">
        <v>344</v>
      </c>
      <c r="AB1630" s="191"/>
      <c r="AD1630" s="191"/>
      <c r="AF1630" s="191"/>
      <c r="AJ1630" s="189">
        <v>2.8622201411493902</v>
      </c>
      <c r="AK1630" s="208">
        <v>44</v>
      </c>
    </row>
    <row r="1631" spans="1:37" s="189" customFormat="1" ht="12" customHeight="1" x14ac:dyDescent="0.2">
      <c r="A1631" s="204"/>
      <c r="B1631" s="205" t="s">
        <v>68</v>
      </c>
      <c r="C1631" s="201" t="s">
        <v>346</v>
      </c>
      <c r="D1631" s="201"/>
      <c r="E1631" s="201"/>
      <c r="H1631" s="206"/>
      <c r="I1631" s="206"/>
      <c r="J1631" s="206"/>
      <c r="K1631" s="206"/>
      <c r="L1631" s="207">
        <v>8.84</v>
      </c>
      <c r="M1631" s="206"/>
      <c r="N1631" s="207">
        <v>2.2599999999999998</v>
      </c>
      <c r="O1631" s="206" t="s">
        <v>329</v>
      </c>
      <c r="P1631" s="248">
        <f>AJ1631*AK1631</f>
        <v>234.70205157424999</v>
      </c>
      <c r="V1631" s="190"/>
      <c r="W1631" s="191"/>
      <c r="Y1631" s="203" t="s">
        <v>346</v>
      </c>
      <c r="AB1631" s="191"/>
      <c r="AD1631" s="191"/>
      <c r="AF1631" s="191"/>
      <c r="AJ1631" s="189">
        <v>2.8622201411493902</v>
      </c>
      <c r="AK1631" s="208">
        <v>82</v>
      </c>
    </row>
    <row r="1632" spans="1:37" s="189" customFormat="1" ht="12" customHeight="1" x14ac:dyDescent="0.2">
      <c r="A1632" s="204"/>
      <c r="B1632" s="205" t="s">
        <v>72</v>
      </c>
      <c r="C1632" s="201" t="s">
        <v>402</v>
      </c>
      <c r="D1632" s="201"/>
      <c r="E1632" s="201"/>
      <c r="H1632" s="206"/>
      <c r="I1632" s="206"/>
      <c r="J1632" s="206"/>
      <c r="K1632" s="206"/>
      <c r="L1632" s="207">
        <v>1.24</v>
      </c>
      <c r="M1632" s="206"/>
      <c r="N1632" s="207">
        <v>0.32</v>
      </c>
      <c r="O1632" s="206" t="s">
        <v>403</v>
      </c>
      <c r="P1632" s="248">
        <f>AJ1632*AK1632</f>
        <v>5.7244402822987803</v>
      </c>
      <c r="V1632" s="190"/>
      <c r="W1632" s="191"/>
      <c r="Y1632" s="203" t="s">
        <v>402</v>
      </c>
      <c r="AB1632" s="191"/>
      <c r="AD1632" s="191"/>
      <c r="AF1632" s="191"/>
      <c r="AJ1632" s="189">
        <v>2.8622201411493902</v>
      </c>
      <c r="AK1632" s="208">
        <v>2</v>
      </c>
    </row>
    <row r="1633" spans="1:37" s="189" customFormat="1" ht="12" customHeight="1" x14ac:dyDescent="0.2">
      <c r="A1633" s="204"/>
      <c r="B1633" s="205"/>
      <c r="C1633" s="201" t="s">
        <v>330</v>
      </c>
      <c r="D1633" s="201"/>
      <c r="E1633" s="201"/>
      <c r="H1633" s="206" t="s">
        <v>331</v>
      </c>
      <c r="I1633" s="206" t="s">
        <v>442</v>
      </c>
      <c r="J1633" s="206"/>
      <c r="K1633" s="206" t="s">
        <v>443</v>
      </c>
      <c r="L1633" s="207"/>
      <c r="M1633" s="206"/>
      <c r="N1633" s="207"/>
      <c r="O1633" s="206"/>
      <c r="P1633" s="248"/>
      <c r="V1633" s="190"/>
      <c r="W1633" s="191"/>
      <c r="Z1633" s="203" t="s">
        <v>330</v>
      </c>
      <c r="AB1633" s="191"/>
      <c r="AD1633" s="191"/>
      <c r="AF1633" s="191"/>
      <c r="AJ1633" s="189">
        <v>2.8622201411493902</v>
      </c>
      <c r="AK1633" s="208"/>
    </row>
    <row r="1634" spans="1:37" s="189" customFormat="1" ht="12" customHeight="1" x14ac:dyDescent="0.2">
      <c r="A1634" s="204"/>
      <c r="B1634" s="205"/>
      <c r="C1634" s="201" t="s">
        <v>349</v>
      </c>
      <c r="D1634" s="201"/>
      <c r="E1634" s="201"/>
      <c r="F1634" s="232"/>
      <c r="G1634" s="232"/>
      <c r="H1634" s="206" t="s">
        <v>331</v>
      </c>
      <c r="I1634" s="206" t="s">
        <v>444</v>
      </c>
      <c r="J1634" s="206"/>
      <c r="K1634" s="206" t="s">
        <v>445</v>
      </c>
      <c r="L1634" s="207"/>
      <c r="M1634" s="206"/>
      <c r="N1634" s="207"/>
      <c r="O1634" s="206"/>
      <c r="P1634" s="248"/>
      <c r="V1634" s="190"/>
      <c r="W1634" s="191"/>
      <c r="Z1634" s="203" t="s">
        <v>349</v>
      </c>
      <c r="AB1634" s="191"/>
      <c r="AD1634" s="191"/>
      <c r="AF1634" s="191"/>
      <c r="AJ1634" s="189">
        <v>2.8622201411493902</v>
      </c>
      <c r="AK1634" s="208"/>
    </row>
    <row r="1635" spans="1:37" s="189" customFormat="1" ht="12" customHeight="1" x14ac:dyDescent="0.2">
      <c r="A1635" s="204"/>
      <c r="B1635" s="205"/>
      <c r="C1635" s="209" t="s">
        <v>334</v>
      </c>
      <c r="D1635" s="209"/>
      <c r="E1635" s="209"/>
      <c r="H1635" s="210"/>
      <c r="I1635" s="210"/>
      <c r="J1635" s="210"/>
      <c r="K1635" s="210"/>
      <c r="L1635" s="211">
        <v>264.48</v>
      </c>
      <c r="M1635" s="210"/>
      <c r="N1635" s="211">
        <v>67.739999999999995</v>
      </c>
      <c r="O1635" s="210"/>
      <c r="P1635" s="197"/>
      <c r="V1635" s="190"/>
      <c r="W1635" s="191"/>
      <c r="AA1635" s="203" t="s">
        <v>334</v>
      </c>
      <c r="AB1635" s="191"/>
      <c r="AD1635" s="191"/>
      <c r="AF1635" s="191"/>
      <c r="AJ1635" s="189">
        <v>2.8622201411493902</v>
      </c>
      <c r="AK1635" s="212"/>
    </row>
    <row r="1636" spans="1:37" s="189" customFormat="1" ht="12" customHeight="1" x14ac:dyDescent="0.2">
      <c r="A1636" s="204"/>
      <c r="B1636" s="205"/>
      <c r="C1636" s="201" t="s">
        <v>57</v>
      </c>
      <c r="D1636" s="201"/>
      <c r="E1636" s="201"/>
      <c r="H1636" s="206"/>
      <c r="I1636" s="206"/>
      <c r="J1636" s="206"/>
      <c r="K1636" s="206"/>
      <c r="L1636" s="207"/>
      <c r="M1636" s="206"/>
      <c r="N1636" s="207">
        <v>65.58</v>
      </c>
      <c r="O1636" s="206"/>
      <c r="P1636" s="248">
        <f>AJ1636*AK1636</f>
        <v>6829.2572567824445</v>
      </c>
      <c r="V1636" s="190"/>
      <c r="W1636" s="191"/>
      <c r="Z1636" s="203" t="s">
        <v>57</v>
      </c>
      <c r="AB1636" s="191"/>
      <c r="AD1636" s="191"/>
      <c r="AF1636" s="191"/>
      <c r="AJ1636" s="189">
        <v>2.8622201411493902</v>
      </c>
      <c r="AK1636" s="208">
        <v>2386</v>
      </c>
    </row>
    <row r="1637" spans="1:37" s="189" customFormat="1" ht="12" customHeight="1" x14ac:dyDescent="0.2">
      <c r="A1637" s="204"/>
      <c r="B1637" s="205" t="s">
        <v>408</v>
      </c>
      <c r="C1637" s="201" t="s">
        <v>59</v>
      </c>
      <c r="D1637" s="201"/>
      <c r="E1637" s="201"/>
      <c r="H1637" s="206" t="s">
        <v>60</v>
      </c>
      <c r="I1637" s="206" t="s">
        <v>409</v>
      </c>
      <c r="J1637" s="206" t="s">
        <v>410</v>
      </c>
      <c r="K1637" s="206" t="s">
        <v>337</v>
      </c>
      <c r="L1637" s="207"/>
      <c r="M1637" s="206"/>
      <c r="N1637" s="207">
        <v>59.02</v>
      </c>
      <c r="O1637" s="206"/>
      <c r="P1637" s="248">
        <f>AJ1637*AK1637</f>
        <v>6145.1866430477403</v>
      </c>
      <c r="V1637" s="190"/>
      <c r="W1637" s="191"/>
      <c r="Z1637" s="203" t="s">
        <v>59</v>
      </c>
      <c r="AB1637" s="191"/>
      <c r="AD1637" s="191"/>
      <c r="AF1637" s="191"/>
      <c r="AJ1637" s="189">
        <v>2.8622201411493902</v>
      </c>
      <c r="AK1637" s="208">
        <v>2147</v>
      </c>
    </row>
    <row r="1638" spans="1:37" s="189" customFormat="1" ht="12" customHeight="1" x14ac:dyDescent="0.2">
      <c r="A1638" s="204"/>
      <c r="B1638" s="205" t="s">
        <v>411</v>
      </c>
      <c r="C1638" s="201" t="s">
        <v>62</v>
      </c>
      <c r="D1638" s="201"/>
      <c r="E1638" s="201"/>
      <c r="F1638" s="232"/>
      <c r="G1638" s="232"/>
      <c r="H1638" s="206" t="s">
        <v>60</v>
      </c>
      <c r="I1638" s="206" t="s">
        <v>248</v>
      </c>
      <c r="J1638" s="206" t="s">
        <v>412</v>
      </c>
      <c r="K1638" s="206" t="s">
        <v>413</v>
      </c>
      <c r="L1638" s="207"/>
      <c r="M1638" s="206"/>
      <c r="N1638" s="207">
        <v>27.31</v>
      </c>
      <c r="O1638" s="206"/>
      <c r="P1638" s="248">
        <f>AJ1638*AK1638</f>
        <v>2845.0468203024939</v>
      </c>
      <c r="V1638" s="190"/>
      <c r="W1638" s="191"/>
      <c r="Z1638" s="203" t="s">
        <v>62</v>
      </c>
      <c r="AB1638" s="191"/>
      <c r="AD1638" s="191"/>
      <c r="AF1638" s="191"/>
      <c r="AJ1638" s="189">
        <v>2.8622201411493902</v>
      </c>
      <c r="AK1638" s="208">
        <v>994</v>
      </c>
    </row>
    <row r="1639" spans="1:37" s="189" customFormat="1" ht="12" customHeight="1" x14ac:dyDescent="0.2">
      <c r="A1639" s="213"/>
      <c r="B1639" s="214"/>
      <c r="C1639" s="194" t="s">
        <v>63</v>
      </c>
      <c r="D1639" s="194"/>
      <c r="E1639" s="194"/>
      <c r="F1639" s="235"/>
      <c r="G1639" s="235"/>
      <c r="H1639" s="195"/>
      <c r="I1639" s="195"/>
      <c r="J1639" s="195"/>
      <c r="K1639" s="195"/>
      <c r="L1639" s="196"/>
      <c r="M1639" s="195"/>
      <c r="N1639" s="196">
        <v>154.07</v>
      </c>
      <c r="O1639" s="210"/>
      <c r="P1639" s="215">
        <f>AJ1639*AK1639</f>
        <v>15716.450795051302</v>
      </c>
      <c r="V1639" s="190"/>
      <c r="W1639" s="191"/>
      <c r="AB1639" s="191" t="s">
        <v>63</v>
      </c>
      <c r="AD1639" s="191"/>
      <c r="AF1639" s="191"/>
      <c r="AJ1639" s="189">
        <v>2.8622201411493902</v>
      </c>
      <c r="AK1639" s="198">
        <v>5491</v>
      </c>
    </row>
    <row r="1640" spans="1:37" s="189" customFormat="1" ht="12" customHeight="1" x14ac:dyDescent="0.2">
      <c r="A1640" s="192">
        <v>406</v>
      </c>
      <c r="B1640" s="193" t="s">
        <v>446</v>
      </c>
      <c r="C1640" s="194" t="s">
        <v>447</v>
      </c>
      <c r="D1640" s="194"/>
      <c r="E1640" s="194"/>
      <c r="H1640" s="195" t="s">
        <v>55</v>
      </c>
      <c r="I1640" s="195"/>
      <c r="J1640" s="195"/>
      <c r="K1640" s="195">
        <f>K1627</f>
        <v>0.16769999999999999</v>
      </c>
      <c r="L1640" s="196"/>
      <c r="M1640" s="195"/>
      <c r="N1640" s="196"/>
      <c r="O1640" s="195"/>
      <c r="P1640" s="197"/>
      <c r="V1640" s="190"/>
      <c r="W1640" s="191" t="s">
        <v>447</v>
      </c>
      <c r="AB1640" s="191"/>
      <c r="AD1640" s="191"/>
      <c r="AF1640" s="191"/>
      <c r="AJ1640" s="189">
        <v>2.8622201411493902</v>
      </c>
      <c r="AK1640" s="198"/>
    </row>
    <row r="1641" spans="1:37" s="189" customFormat="1" ht="12" customHeight="1" x14ac:dyDescent="0.2">
      <c r="A1641" s="217"/>
      <c r="B1641" s="205"/>
      <c r="C1641" s="201" t="s">
        <v>448</v>
      </c>
      <c r="D1641" s="201"/>
      <c r="E1641" s="201"/>
      <c r="F1641" s="201"/>
      <c r="G1641" s="201"/>
      <c r="H1641" s="201"/>
      <c r="I1641" s="201"/>
      <c r="J1641" s="201"/>
      <c r="K1641" s="201"/>
      <c r="L1641" s="201"/>
      <c r="M1641" s="201"/>
      <c r="N1641" s="201"/>
      <c r="P1641" s="288"/>
      <c r="V1641" s="190"/>
      <c r="W1641" s="191"/>
      <c r="AB1641" s="191"/>
      <c r="AC1641" s="203" t="s">
        <v>448</v>
      </c>
      <c r="AD1641" s="191"/>
      <c r="AF1641" s="191"/>
      <c r="AJ1641" s="189">
        <v>2.8622201411493902</v>
      </c>
    </row>
    <row r="1642" spans="1:37" s="189" customFormat="1" ht="12" customHeight="1" x14ac:dyDescent="0.2">
      <c r="A1642" s="204"/>
      <c r="B1642" s="205" t="s">
        <v>52</v>
      </c>
      <c r="C1642" s="201" t="s">
        <v>328</v>
      </c>
      <c r="D1642" s="201"/>
      <c r="E1642" s="201"/>
      <c r="H1642" s="206"/>
      <c r="I1642" s="206"/>
      <c r="J1642" s="206"/>
      <c r="K1642" s="206"/>
      <c r="L1642" s="207">
        <v>23.59</v>
      </c>
      <c r="M1642" s="206" t="s">
        <v>80</v>
      </c>
      <c r="N1642" s="207">
        <v>30.21</v>
      </c>
      <c r="O1642" s="206" t="s">
        <v>329</v>
      </c>
      <c r="P1642" s="248">
        <f>AJ1642*AK1642</f>
        <v>3145.5799351231799</v>
      </c>
      <c r="V1642" s="190"/>
      <c r="W1642" s="191"/>
      <c r="Y1642" s="203" t="s">
        <v>328</v>
      </c>
      <c r="AB1642" s="191"/>
      <c r="AD1642" s="191"/>
      <c r="AF1642" s="191"/>
      <c r="AJ1642" s="189">
        <v>2.8622201411493902</v>
      </c>
      <c r="AK1642" s="208">
        <v>1099</v>
      </c>
    </row>
    <row r="1643" spans="1:37" s="189" customFormat="1" ht="12" customHeight="1" x14ac:dyDescent="0.2">
      <c r="A1643" s="204"/>
      <c r="B1643" s="205" t="s">
        <v>64</v>
      </c>
      <c r="C1643" s="201" t="s">
        <v>344</v>
      </c>
      <c r="D1643" s="201"/>
      <c r="E1643" s="201"/>
      <c r="H1643" s="206"/>
      <c r="I1643" s="206"/>
      <c r="J1643" s="206"/>
      <c r="K1643" s="206"/>
      <c r="L1643" s="207">
        <v>1.58</v>
      </c>
      <c r="M1643" s="206" t="s">
        <v>80</v>
      </c>
      <c r="N1643" s="207">
        <v>2.02</v>
      </c>
      <c r="O1643" s="206" t="s">
        <v>345</v>
      </c>
      <c r="P1643" s="248">
        <f>AJ1643*AK1643</f>
        <v>62.968843105286581</v>
      </c>
      <c r="V1643" s="190"/>
      <c r="W1643" s="191"/>
      <c r="Y1643" s="203" t="s">
        <v>344</v>
      </c>
      <c r="AB1643" s="191"/>
      <c r="AD1643" s="191"/>
      <c r="AF1643" s="191"/>
      <c r="AJ1643" s="189">
        <v>2.8622201411493902</v>
      </c>
      <c r="AK1643" s="208">
        <v>22</v>
      </c>
    </row>
    <row r="1644" spans="1:37" s="189" customFormat="1" ht="12" customHeight="1" x14ac:dyDescent="0.2">
      <c r="A1644" s="204"/>
      <c r="B1644" s="205" t="s">
        <v>68</v>
      </c>
      <c r="C1644" s="201" t="s">
        <v>346</v>
      </c>
      <c r="D1644" s="201"/>
      <c r="E1644" s="201"/>
      <c r="H1644" s="206"/>
      <c r="I1644" s="206"/>
      <c r="J1644" s="206"/>
      <c r="K1644" s="206"/>
      <c r="L1644" s="207">
        <v>0.88</v>
      </c>
      <c r="M1644" s="206" t="s">
        <v>80</v>
      </c>
      <c r="N1644" s="207">
        <v>1.1299999999999999</v>
      </c>
      <c r="O1644" s="206" t="s">
        <v>329</v>
      </c>
      <c r="P1644" s="248">
        <f>AJ1644*AK1644</f>
        <v>117.351025787125</v>
      </c>
      <c r="V1644" s="190"/>
      <c r="W1644" s="191"/>
      <c r="Y1644" s="203" t="s">
        <v>346</v>
      </c>
      <c r="AB1644" s="191"/>
      <c r="AD1644" s="191"/>
      <c r="AF1644" s="191"/>
      <c r="AJ1644" s="189">
        <v>2.8622201411493902</v>
      </c>
      <c r="AK1644" s="208">
        <v>41</v>
      </c>
    </row>
    <row r="1645" spans="1:37" s="189" customFormat="1" ht="12" customHeight="1" x14ac:dyDescent="0.2">
      <c r="A1645" s="204"/>
      <c r="B1645" s="205" t="s">
        <v>72</v>
      </c>
      <c r="C1645" s="201" t="s">
        <v>402</v>
      </c>
      <c r="D1645" s="201"/>
      <c r="E1645" s="201"/>
      <c r="H1645" s="206"/>
      <c r="I1645" s="206"/>
      <c r="J1645" s="206"/>
      <c r="K1645" s="206"/>
      <c r="L1645" s="207">
        <v>0.12</v>
      </c>
      <c r="M1645" s="206" t="s">
        <v>80</v>
      </c>
      <c r="N1645" s="207">
        <v>0.15</v>
      </c>
      <c r="O1645" s="206" t="s">
        <v>403</v>
      </c>
      <c r="P1645" s="248">
        <f>AJ1645*AK1645</f>
        <v>2.8622201411493902</v>
      </c>
      <c r="V1645" s="190"/>
      <c r="W1645" s="191"/>
      <c r="Y1645" s="203" t="s">
        <v>402</v>
      </c>
      <c r="AB1645" s="191"/>
      <c r="AD1645" s="191"/>
      <c r="AF1645" s="191"/>
      <c r="AJ1645" s="189">
        <v>2.8622201411493902</v>
      </c>
      <c r="AK1645" s="208">
        <v>1</v>
      </c>
    </row>
    <row r="1646" spans="1:37" s="189" customFormat="1" ht="12" customHeight="1" x14ac:dyDescent="0.2">
      <c r="A1646" s="204"/>
      <c r="B1646" s="205"/>
      <c r="C1646" s="201" t="s">
        <v>330</v>
      </c>
      <c r="D1646" s="201"/>
      <c r="E1646" s="201"/>
      <c r="H1646" s="206" t="s">
        <v>331</v>
      </c>
      <c r="I1646" s="206" t="s">
        <v>449</v>
      </c>
      <c r="J1646" s="206" t="s">
        <v>80</v>
      </c>
      <c r="K1646" s="206" t="s">
        <v>450</v>
      </c>
      <c r="L1646" s="207"/>
      <c r="M1646" s="206"/>
      <c r="N1646" s="207"/>
      <c r="O1646" s="206"/>
      <c r="P1646" s="248"/>
      <c r="V1646" s="190"/>
      <c r="W1646" s="191"/>
      <c r="Z1646" s="203" t="s">
        <v>330</v>
      </c>
      <c r="AB1646" s="191"/>
      <c r="AD1646" s="191"/>
      <c r="AF1646" s="191"/>
      <c r="AJ1646" s="189">
        <v>2.8622201411493902</v>
      </c>
      <c r="AK1646" s="208"/>
    </row>
    <row r="1647" spans="1:37" s="189" customFormat="1" ht="12" customHeight="1" x14ac:dyDescent="0.2">
      <c r="A1647" s="204"/>
      <c r="B1647" s="205"/>
      <c r="C1647" s="201" t="s">
        <v>349</v>
      </c>
      <c r="D1647" s="201"/>
      <c r="E1647" s="201"/>
      <c r="F1647" s="232"/>
      <c r="G1647" s="232"/>
      <c r="H1647" s="206" t="s">
        <v>331</v>
      </c>
      <c r="I1647" s="206" t="s">
        <v>451</v>
      </c>
      <c r="J1647" s="206" t="s">
        <v>80</v>
      </c>
      <c r="K1647" s="206" t="s">
        <v>452</v>
      </c>
      <c r="L1647" s="207"/>
      <c r="M1647" s="206"/>
      <c r="N1647" s="207"/>
      <c r="O1647" s="206"/>
      <c r="P1647" s="248"/>
      <c r="V1647" s="190"/>
      <c r="W1647" s="191"/>
      <c r="Z1647" s="203" t="s">
        <v>349</v>
      </c>
      <c r="AB1647" s="191"/>
      <c r="AD1647" s="191"/>
      <c r="AF1647" s="191"/>
      <c r="AJ1647" s="189">
        <v>2.8622201411493902</v>
      </c>
      <c r="AK1647" s="208"/>
    </row>
    <row r="1648" spans="1:37" s="189" customFormat="1" ht="12" customHeight="1" x14ac:dyDescent="0.2">
      <c r="A1648" s="204"/>
      <c r="B1648" s="205"/>
      <c r="C1648" s="209" t="s">
        <v>334</v>
      </c>
      <c r="D1648" s="209"/>
      <c r="E1648" s="209"/>
      <c r="H1648" s="210"/>
      <c r="I1648" s="210"/>
      <c r="J1648" s="210"/>
      <c r="K1648" s="210"/>
      <c r="L1648" s="211">
        <v>25.29</v>
      </c>
      <c r="M1648" s="210"/>
      <c r="N1648" s="211">
        <v>32.380000000000003</v>
      </c>
      <c r="O1648" s="210"/>
      <c r="P1648" s="197"/>
      <c r="V1648" s="190"/>
      <c r="W1648" s="191"/>
      <c r="AA1648" s="203" t="s">
        <v>334</v>
      </c>
      <c r="AB1648" s="191"/>
      <c r="AD1648" s="191"/>
      <c r="AF1648" s="191"/>
      <c r="AJ1648" s="189">
        <v>2.8622201411493902</v>
      </c>
      <c r="AK1648" s="212"/>
    </row>
    <row r="1649" spans="1:37" s="189" customFormat="1" ht="12" customHeight="1" x14ac:dyDescent="0.2">
      <c r="A1649" s="204"/>
      <c r="B1649" s="205"/>
      <c r="C1649" s="201" t="s">
        <v>57</v>
      </c>
      <c r="D1649" s="201"/>
      <c r="E1649" s="201"/>
      <c r="H1649" s="206"/>
      <c r="I1649" s="206"/>
      <c r="J1649" s="206"/>
      <c r="K1649" s="206"/>
      <c r="L1649" s="207"/>
      <c r="M1649" s="206"/>
      <c r="N1649" s="207">
        <v>31.34</v>
      </c>
      <c r="O1649" s="206"/>
      <c r="P1649" s="248">
        <f>AJ1649*AK1649</f>
        <v>3262.9309609103047</v>
      </c>
      <c r="V1649" s="190"/>
      <c r="W1649" s="191"/>
      <c r="Z1649" s="203" t="s">
        <v>57</v>
      </c>
      <c r="AB1649" s="191"/>
      <c r="AD1649" s="191"/>
      <c r="AF1649" s="191"/>
      <c r="AJ1649" s="189">
        <v>2.8622201411493902</v>
      </c>
      <c r="AK1649" s="208">
        <v>1140</v>
      </c>
    </row>
    <row r="1650" spans="1:37" s="189" customFormat="1" ht="12" customHeight="1" x14ac:dyDescent="0.2">
      <c r="A1650" s="204"/>
      <c r="B1650" s="205" t="s">
        <v>408</v>
      </c>
      <c r="C1650" s="201" t="s">
        <v>59</v>
      </c>
      <c r="D1650" s="201"/>
      <c r="E1650" s="201"/>
      <c r="H1650" s="206" t="s">
        <v>60</v>
      </c>
      <c r="I1650" s="206" t="s">
        <v>409</v>
      </c>
      <c r="J1650" s="206" t="s">
        <v>410</v>
      </c>
      <c r="K1650" s="206" t="s">
        <v>337</v>
      </c>
      <c r="L1650" s="207"/>
      <c r="M1650" s="206"/>
      <c r="N1650" s="207">
        <v>28.21</v>
      </c>
      <c r="O1650" s="206"/>
      <c r="P1650" s="248">
        <f>AJ1650*AK1650</f>
        <v>2936.6378648192745</v>
      </c>
      <c r="V1650" s="190"/>
      <c r="W1650" s="191"/>
      <c r="Z1650" s="203" t="s">
        <v>59</v>
      </c>
      <c r="AB1650" s="191"/>
      <c r="AD1650" s="191"/>
      <c r="AF1650" s="191"/>
      <c r="AJ1650" s="189">
        <v>2.8622201411493902</v>
      </c>
      <c r="AK1650" s="208">
        <v>1026</v>
      </c>
    </row>
    <row r="1651" spans="1:37" s="189" customFormat="1" ht="12" customHeight="1" x14ac:dyDescent="0.2">
      <c r="A1651" s="204"/>
      <c r="B1651" s="205" t="s">
        <v>411</v>
      </c>
      <c r="C1651" s="201" t="s">
        <v>62</v>
      </c>
      <c r="D1651" s="201"/>
      <c r="E1651" s="201"/>
      <c r="F1651" s="232"/>
      <c r="G1651" s="232"/>
      <c r="H1651" s="206" t="s">
        <v>60</v>
      </c>
      <c r="I1651" s="206" t="s">
        <v>248</v>
      </c>
      <c r="J1651" s="206" t="s">
        <v>412</v>
      </c>
      <c r="K1651" s="206" t="s">
        <v>413</v>
      </c>
      <c r="L1651" s="207"/>
      <c r="M1651" s="206"/>
      <c r="N1651" s="207">
        <v>13.05</v>
      </c>
      <c r="O1651" s="206"/>
      <c r="P1651" s="248">
        <f>AJ1651*AK1651</f>
        <v>1359.5545670459603</v>
      </c>
      <c r="V1651" s="190"/>
      <c r="W1651" s="191"/>
      <c r="Z1651" s="203" t="s">
        <v>62</v>
      </c>
      <c r="AB1651" s="191"/>
      <c r="AD1651" s="191"/>
      <c r="AF1651" s="191"/>
      <c r="AJ1651" s="189">
        <v>2.8622201411493902</v>
      </c>
      <c r="AK1651" s="208">
        <v>475</v>
      </c>
    </row>
    <row r="1652" spans="1:37" s="189" customFormat="1" ht="12" customHeight="1" x14ac:dyDescent="0.2">
      <c r="A1652" s="213"/>
      <c r="B1652" s="214"/>
      <c r="C1652" s="194" t="s">
        <v>63</v>
      </c>
      <c r="D1652" s="194"/>
      <c r="E1652" s="194"/>
      <c r="F1652" s="235"/>
      <c r="G1652" s="235"/>
      <c r="H1652" s="195"/>
      <c r="I1652" s="195"/>
      <c r="J1652" s="195"/>
      <c r="K1652" s="195"/>
      <c r="L1652" s="196"/>
      <c r="M1652" s="195"/>
      <c r="N1652" s="196">
        <v>73.64</v>
      </c>
      <c r="O1652" s="210"/>
      <c r="P1652" s="197">
        <f>AJ1652*AK1652</f>
        <v>7507.6034302348507</v>
      </c>
      <c r="V1652" s="190"/>
      <c r="W1652" s="191"/>
      <c r="AB1652" s="191" t="s">
        <v>63</v>
      </c>
      <c r="AD1652" s="191"/>
      <c r="AF1652" s="191"/>
      <c r="AJ1652" s="189">
        <v>2.8622201411493902</v>
      </c>
      <c r="AK1652" s="198">
        <v>2623</v>
      </c>
    </row>
    <row r="1653" spans="1:37" s="189" customFormat="1" ht="12" customHeight="1" x14ac:dyDescent="0.2">
      <c r="A1653" s="192">
        <v>407</v>
      </c>
      <c r="B1653" s="193" t="s">
        <v>453</v>
      </c>
      <c r="C1653" s="194" t="s">
        <v>454</v>
      </c>
      <c r="D1653" s="194"/>
      <c r="E1653" s="194"/>
      <c r="H1653" s="195" t="s">
        <v>67</v>
      </c>
      <c r="I1653" s="195"/>
      <c r="J1653" s="195"/>
      <c r="K1653" s="195">
        <f>0.1677*33</f>
        <v>5.5340999999999996</v>
      </c>
      <c r="L1653" s="196">
        <v>15.09</v>
      </c>
      <c r="M1653" s="195"/>
      <c r="N1653" s="196">
        <v>127.53</v>
      </c>
      <c r="O1653" s="195" t="s">
        <v>403</v>
      </c>
      <c r="P1653" s="197">
        <f>AJ1653*AK1653</f>
        <v>2264.0161316491676</v>
      </c>
      <c r="V1653" s="190"/>
      <c r="W1653" s="191" t="s">
        <v>454</v>
      </c>
      <c r="AB1653" s="191"/>
      <c r="AD1653" s="191"/>
      <c r="AF1653" s="191"/>
      <c r="AJ1653" s="189">
        <v>2.8622201411493902</v>
      </c>
      <c r="AK1653" s="198">
        <v>791</v>
      </c>
    </row>
    <row r="1654" spans="1:37" s="189" customFormat="1" ht="12" customHeight="1" x14ac:dyDescent="0.2">
      <c r="A1654" s="199"/>
      <c r="B1654" s="200"/>
      <c r="C1654" s="243" t="s">
        <v>455</v>
      </c>
      <c r="D1654" s="243"/>
      <c r="E1654" s="243"/>
      <c r="F1654" s="243"/>
      <c r="G1654" s="243"/>
      <c r="H1654" s="243"/>
      <c r="I1654" s="243"/>
      <c r="J1654" s="243"/>
      <c r="K1654" s="243"/>
      <c r="L1654" s="243"/>
      <c r="M1654" s="243"/>
      <c r="N1654" s="243"/>
      <c r="P1654" s="288"/>
      <c r="V1654" s="190"/>
      <c r="W1654" s="191"/>
      <c r="X1654" s="203" t="s">
        <v>456</v>
      </c>
      <c r="AB1654" s="191"/>
      <c r="AD1654" s="191"/>
      <c r="AF1654" s="191"/>
      <c r="AJ1654" s="189">
        <v>2.8622201411493902</v>
      </c>
    </row>
    <row r="1655" spans="1:37" s="189" customFormat="1" ht="12" customHeight="1" x14ac:dyDescent="0.2">
      <c r="A1655" s="192">
        <v>408</v>
      </c>
      <c r="B1655" s="193" t="s">
        <v>457</v>
      </c>
      <c r="C1655" s="244" t="s">
        <v>458</v>
      </c>
      <c r="D1655" s="244"/>
      <c r="E1655" s="244"/>
      <c r="H1655" s="221" t="s">
        <v>71</v>
      </c>
      <c r="I1655" s="221"/>
      <c r="J1655" s="221"/>
      <c r="K1655" s="221" t="s">
        <v>459</v>
      </c>
      <c r="L1655" s="245">
        <v>1113.1099999999999</v>
      </c>
      <c r="M1655" s="221"/>
      <c r="N1655" s="245">
        <v>363.46</v>
      </c>
      <c r="O1655" s="195" t="s">
        <v>403</v>
      </c>
      <c r="P1655" s="197">
        <f>AJ1655*AK1655</f>
        <v>6448.5819780095762</v>
      </c>
      <c r="V1655" s="190"/>
      <c r="W1655" s="191" t="s">
        <v>458</v>
      </c>
      <c r="AB1655" s="191"/>
      <c r="AD1655" s="191"/>
      <c r="AF1655" s="191"/>
      <c r="AJ1655" s="189">
        <v>2.8622201411493902</v>
      </c>
      <c r="AK1655" s="198">
        <v>2253</v>
      </c>
    </row>
    <row r="1656" spans="1:37" s="189" customFormat="1" ht="12" customHeight="1" x14ac:dyDescent="0.2">
      <c r="A1656" s="199"/>
      <c r="B1656" s="200"/>
      <c r="C1656" s="243" t="s">
        <v>460</v>
      </c>
      <c r="D1656" s="243"/>
      <c r="E1656" s="243"/>
      <c r="F1656" s="243"/>
      <c r="G1656" s="243"/>
      <c r="H1656" s="243"/>
      <c r="I1656" s="243"/>
      <c r="J1656" s="243"/>
      <c r="K1656" s="243"/>
      <c r="L1656" s="243"/>
      <c r="M1656" s="243"/>
      <c r="N1656" s="243"/>
      <c r="P1656" s="288"/>
      <c r="V1656" s="190"/>
      <c r="W1656" s="191"/>
      <c r="X1656" s="203" t="s">
        <v>460</v>
      </c>
      <c r="AB1656" s="191"/>
      <c r="AD1656" s="191"/>
      <c r="AF1656" s="191"/>
      <c r="AJ1656" s="189">
        <v>2.8622201411493902</v>
      </c>
    </row>
    <row r="1657" spans="1:37" s="189" customFormat="1" ht="12" customHeight="1" x14ac:dyDescent="0.2">
      <c r="A1657" s="192">
        <v>409</v>
      </c>
      <c r="B1657" s="193" t="s">
        <v>461</v>
      </c>
      <c r="C1657" s="244" t="s">
        <v>132</v>
      </c>
      <c r="D1657" s="244"/>
      <c r="E1657" s="244"/>
      <c r="H1657" s="221" t="s">
        <v>55</v>
      </c>
      <c r="I1657" s="221"/>
      <c r="J1657" s="221"/>
      <c r="K1657" s="221">
        <f>(2.14+0.86)*2*2/100</f>
        <v>0.12</v>
      </c>
      <c r="L1657" s="245"/>
      <c r="M1657" s="221"/>
      <c r="N1657" s="245"/>
      <c r="O1657" s="195"/>
      <c r="P1657" s="197"/>
      <c r="V1657" s="190"/>
      <c r="W1657" s="191" t="s">
        <v>132</v>
      </c>
      <c r="AB1657" s="191"/>
      <c r="AD1657" s="191"/>
      <c r="AF1657" s="191"/>
      <c r="AJ1657" s="189">
        <v>2.8622201411493902</v>
      </c>
      <c r="AK1657" s="198"/>
    </row>
    <row r="1658" spans="1:37" s="189" customFormat="1" ht="12" customHeight="1" x14ac:dyDescent="0.2">
      <c r="A1658" s="199"/>
      <c r="B1658" s="200"/>
      <c r="C1658" s="201" t="s">
        <v>462</v>
      </c>
      <c r="D1658" s="201"/>
      <c r="E1658" s="201"/>
      <c r="F1658" s="201"/>
      <c r="G1658" s="201"/>
      <c r="H1658" s="201"/>
      <c r="I1658" s="201"/>
      <c r="J1658" s="201"/>
      <c r="K1658" s="201"/>
      <c r="L1658" s="201"/>
      <c r="M1658" s="201"/>
      <c r="N1658" s="201"/>
      <c r="P1658" s="288"/>
      <c r="V1658" s="190"/>
      <c r="W1658" s="191"/>
      <c r="X1658" s="203" t="s">
        <v>463</v>
      </c>
      <c r="AB1658" s="191"/>
      <c r="AD1658" s="191"/>
      <c r="AF1658" s="191"/>
      <c r="AJ1658" s="189">
        <v>2.8622201411493902</v>
      </c>
    </row>
    <row r="1659" spans="1:37" s="189" customFormat="1" ht="12" customHeight="1" x14ac:dyDescent="0.2">
      <c r="A1659" s="204"/>
      <c r="B1659" s="205" t="s">
        <v>52</v>
      </c>
      <c r="C1659" s="201" t="s">
        <v>328</v>
      </c>
      <c r="D1659" s="201"/>
      <c r="E1659" s="201"/>
      <c r="H1659" s="206"/>
      <c r="I1659" s="206"/>
      <c r="J1659" s="206"/>
      <c r="K1659" s="206"/>
      <c r="L1659" s="207">
        <v>340.2</v>
      </c>
      <c r="M1659" s="206"/>
      <c r="N1659" s="207">
        <v>32.35</v>
      </c>
      <c r="O1659" s="206" t="s">
        <v>329</v>
      </c>
      <c r="P1659" s="248">
        <f>AJ1659*AK1659</f>
        <v>3368.8331061328322</v>
      </c>
      <c r="V1659" s="190"/>
      <c r="W1659" s="191"/>
      <c r="Y1659" s="203" t="s">
        <v>328</v>
      </c>
      <c r="AB1659" s="191"/>
      <c r="AD1659" s="191"/>
      <c r="AF1659" s="191"/>
      <c r="AJ1659" s="189">
        <v>2.8622201411493902</v>
      </c>
      <c r="AK1659" s="208">
        <v>1177</v>
      </c>
    </row>
    <row r="1660" spans="1:37" s="189" customFormat="1" ht="12" customHeight="1" x14ac:dyDescent="0.2">
      <c r="A1660" s="204"/>
      <c r="B1660" s="205" t="s">
        <v>64</v>
      </c>
      <c r="C1660" s="201" t="s">
        <v>344</v>
      </c>
      <c r="D1660" s="201"/>
      <c r="E1660" s="201"/>
      <c r="H1660" s="206"/>
      <c r="I1660" s="206"/>
      <c r="J1660" s="206"/>
      <c r="K1660" s="206"/>
      <c r="L1660" s="207">
        <v>13.55</v>
      </c>
      <c r="M1660" s="206"/>
      <c r="N1660" s="207">
        <v>1.29</v>
      </c>
      <c r="O1660" s="206" t="s">
        <v>345</v>
      </c>
      <c r="P1660" s="248">
        <f>AJ1660*AK1660</f>
        <v>40.071081976091463</v>
      </c>
      <c r="V1660" s="190"/>
      <c r="W1660" s="191"/>
      <c r="Y1660" s="203" t="s">
        <v>344</v>
      </c>
      <c r="AB1660" s="191"/>
      <c r="AD1660" s="191"/>
      <c r="AF1660" s="191"/>
      <c r="AJ1660" s="189">
        <v>2.8622201411493902</v>
      </c>
      <c r="AK1660" s="208">
        <v>14</v>
      </c>
    </row>
    <row r="1661" spans="1:37" s="189" customFormat="1" ht="12" customHeight="1" x14ac:dyDescent="0.2">
      <c r="A1661" s="204"/>
      <c r="B1661" s="205" t="s">
        <v>68</v>
      </c>
      <c r="C1661" s="201" t="s">
        <v>346</v>
      </c>
      <c r="D1661" s="201"/>
      <c r="E1661" s="201"/>
      <c r="H1661" s="206"/>
      <c r="I1661" s="206"/>
      <c r="J1661" s="206"/>
      <c r="K1661" s="206"/>
      <c r="L1661" s="207">
        <v>1.72</v>
      </c>
      <c r="M1661" s="206"/>
      <c r="N1661" s="207">
        <v>0.16</v>
      </c>
      <c r="O1661" s="206" t="s">
        <v>329</v>
      </c>
      <c r="P1661" s="248">
        <f>AJ1661*AK1661</f>
        <v>17.173320846896342</v>
      </c>
      <c r="V1661" s="190"/>
      <c r="W1661" s="191"/>
      <c r="Y1661" s="203" t="s">
        <v>346</v>
      </c>
      <c r="AB1661" s="191"/>
      <c r="AD1661" s="191"/>
      <c r="AF1661" s="191"/>
      <c r="AJ1661" s="189">
        <v>2.8622201411493902</v>
      </c>
      <c r="AK1661" s="208">
        <v>6</v>
      </c>
    </row>
    <row r="1662" spans="1:37" s="189" customFormat="1" ht="12" customHeight="1" x14ac:dyDescent="0.2">
      <c r="A1662" s="204"/>
      <c r="B1662" s="205" t="s">
        <v>72</v>
      </c>
      <c r="C1662" s="201" t="s">
        <v>402</v>
      </c>
      <c r="D1662" s="201"/>
      <c r="E1662" s="201"/>
      <c r="H1662" s="206"/>
      <c r="I1662" s="206"/>
      <c r="J1662" s="206"/>
      <c r="K1662" s="206"/>
      <c r="L1662" s="207">
        <v>649.96</v>
      </c>
      <c r="M1662" s="206"/>
      <c r="N1662" s="207">
        <v>61.710999999999999</v>
      </c>
      <c r="O1662" s="206" t="s">
        <v>403</v>
      </c>
      <c r="P1662" s="248">
        <f>AJ1662*AK1662</f>
        <v>1096.2303140602164</v>
      </c>
      <c r="V1662" s="190"/>
      <c r="W1662" s="191"/>
      <c r="Y1662" s="203" t="s">
        <v>402</v>
      </c>
      <c r="AB1662" s="191"/>
      <c r="AD1662" s="191"/>
      <c r="AF1662" s="191"/>
      <c r="AJ1662" s="189">
        <v>2.8622201411493902</v>
      </c>
      <c r="AK1662" s="208">
        <v>383</v>
      </c>
    </row>
    <row r="1663" spans="1:37" s="189" customFormat="1" ht="12" customHeight="1" x14ac:dyDescent="0.2">
      <c r="A1663" s="204"/>
      <c r="B1663" s="205"/>
      <c r="C1663" s="201" t="s">
        <v>330</v>
      </c>
      <c r="D1663" s="201"/>
      <c r="E1663" s="201"/>
      <c r="H1663" s="206" t="s">
        <v>331</v>
      </c>
      <c r="I1663" s="206" t="s">
        <v>464</v>
      </c>
      <c r="J1663" s="206"/>
      <c r="K1663" s="206" t="s">
        <v>465</v>
      </c>
      <c r="L1663" s="207"/>
      <c r="M1663" s="206"/>
      <c r="N1663" s="207"/>
      <c r="O1663" s="206"/>
      <c r="P1663" s="248"/>
      <c r="V1663" s="190"/>
      <c r="W1663" s="191"/>
      <c r="Z1663" s="203" t="s">
        <v>330</v>
      </c>
      <c r="AB1663" s="191"/>
      <c r="AD1663" s="191"/>
      <c r="AF1663" s="191"/>
      <c r="AJ1663" s="189">
        <v>2.8622201411493902</v>
      </c>
      <c r="AK1663" s="208"/>
    </row>
    <row r="1664" spans="1:37" s="189" customFormat="1" ht="12" customHeight="1" x14ac:dyDescent="0.2">
      <c r="A1664" s="204"/>
      <c r="B1664" s="205"/>
      <c r="C1664" s="201" t="s">
        <v>349</v>
      </c>
      <c r="D1664" s="201"/>
      <c r="E1664" s="201"/>
      <c r="F1664" s="232"/>
      <c r="G1664" s="232"/>
      <c r="H1664" s="206" t="s">
        <v>331</v>
      </c>
      <c r="I1664" s="206" t="s">
        <v>466</v>
      </c>
      <c r="J1664" s="206"/>
      <c r="K1664" s="206" t="s">
        <v>467</v>
      </c>
      <c r="L1664" s="207"/>
      <c r="M1664" s="206"/>
      <c r="N1664" s="207"/>
      <c r="O1664" s="206"/>
      <c r="P1664" s="248"/>
      <c r="V1664" s="190"/>
      <c r="W1664" s="191"/>
      <c r="Z1664" s="203" t="s">
        <v>349</v>
      </c>
      <c r="AB1664" s="191"/>
      <c r="AD1664" s="191"/>
      <c r="AF1664" s="191"/>
      <c r="AJ1664" s="189">
        <v>2.8622201411493902</v>
      </c>
      <c r="AK1664" s="208"/>
    </row>
    <row r="1665" spans="1:37" s="189" customFormat="1" ht="12" customHeight="1" x14ac:dyDescent="0.2">
      <c r="A1665" s="204"/>
      <c r="B1665" s="205"/>
      <c r="C1665" s="209" t="s">
        <v>334</v>
      </c>
      <c r="D1665" s="209"/>
      <c r="E1665" s="209"/>
      <c r="H1665" s="210"/>
      <c r="I1665" s="210"/>
      <c r="J1665" s="210"/>
      <c r="K1665" s="210"/>
      <c r="L1665" s="211">
        <v>1003.71</v>
      </c>
      <c r="M1665" s="210"/>
      <c r="N1665" s="211">
        <v>95.45</v>
      </c>
      <c r="O1665" s="210"/>
      <c r="P1665" s="197"/>
      <c r="V1665" s="190"/>
      <c r="W1665" s="191"/>
      <c r="AA1665" s="203" t="s">
        <v>334</v>
      </c>
      <c r="AB1665" s="191"/>
      <c r="AD1665" s="191"/>
      <c r="AF1665" s="191"/>
      <c r="AJ1665" s="189">
        <v>2.8622201411493902</v>
      </c>
      <c r="AK1665" s="212"/>
    </row>
    <row r="1666" spans="1:37" s="189" customFormat="1" ht="12" customHeight="1" x14ac:dyDescent="0.2">
      <c r="A1666" s="204"/>
      <c r="B1666" s="205"/>
      <c r="C1666" s="201" t="s">
        <v>57</v>
      </c>
      <c r="D1666" s="201"/>
      <c r="E1666" s="201"/>
      <c r="H1666" s="206"/>
      <c r="I1666" s="206"/>
      <c r="J1666" s="206"/>
      <c r="K1666" s="206"/>
      <c r="L1666" s="207"/>
      <c r="M1666" s="206"/>
      <c r="N1666" s="207">
        <v>32.51</v>
      </c>
      <c r="O1666" s="206"/>
      <c r="P1666" s="248">
        <f>AJ1666*AK1666</f>
        <v>3386.0064269797285</v>
      </c>
      <c r="V1666" s="190"/>
      <c r="W1666" s="191"/>
      <c r="Z1666" s="203" t="s">
        <v>57</v>
      </c>
      <c r="AB1666" s="191"/>
      <c r="AD1666" s="191"/>
      <c r="AF1666" s="191"/>
      <c r="AJ1666" s="189">
        <v>2.8622201411493902</v>
      </c>
      <c r="AK1666" s="208">
        <v>1183</v>
      </c>
    </row>
    <row r="1667" spans="1:37" s="189" customFormat="1" ht="12" customHeight="1" x14ac:dyDescent="0.2">
      <c r="A1667" s="204"/>
      <c r="B1667" s="205" t="s">
        <v>408</v>
      </c>
      <c r="C1667" s="201" t="s">
        <v>59</v>
      </c>
      <c r="D1667" s="201"/>
      <c r="E1667" s="201"/>
      <c r="H1667" s="206" t="s">
        <v>60</v>
      </c>
      <c r="I1667" s="206" t="s">
        <v>409</v>
      </c>
      <c r="J1667" s="206" t="s">
        <v>410</v>
      </c>
      <c r="K1667" s="206" t="s">
        <v>337</v>
      </c>
      <c r="L1667" s="207"/>
      <c r="M1667" s="206"/>
      <c r="N1667" s="207">
        <v>29.26</v>
      </c>
      <c r="O1667" s="206"/>
      <c r="P1667" s="248">
        <f>AJ1667*AK1667</f>
        <v>3048.2644503241004</v>
      </c>
      <c r="V1667" s="190"/>
      <c r="W1667" s="191"/>
      <c r="Z1667" s="203" t="s">
        <v>59</v>
      </c>
      <c r="AB1667" s="191"/>
      <c r="AD1667" s="191"/>
      <c r="AF1667" s="191"/>
      <c r="AJ1667" s="189">
        <v>2.8622201411493902</v>
      </c>
      <c r="AK1667" s="208">
        <v>1065</v>
      </c>
    </row>
    <row r="1668" spans="1:37" s="189" customFormat="1" ht="12" customHeight="1" x14ac:dyDescent="0.2">
      <c r="A1668" s="204"/>
      <c r="B1668" s="205" t="s">
        <v>411</v>
      </c>
      <c r="C1668" s="201" t="s">
        <v>62</v>
      </c>
      <c r="D1668" s="201"/>
      <c r="E1668" s="201"/>
      <c r="F1668" s="232"/>
      <c r="G1668" s="232"/>
      <c r="H1668" s="206" t="s">
        <v>60</v>
      </c>
      <c r="I1668" s="206" t="s">
        <v>248</v>
      </c>
      <c r="J1668" s="206" t="s">
        <v>412</v>
      </c>
      <c r="K1668" s="206" t="s">
        <v>413</v>
      </c>
      <c r="L1668" s="207"/>
      <c r="M1668" s="206"/>
      <c r="N1668" s="207">
        <v>13.54</v>
      </c>
      <c r="O1668" s="206"/>
      <c r="P1668" s="248">
        <f>AJ1668*AK1668</f>
        <v>1411.0745295866493</v>
      </c>
      <c r="V1668" s="190"/>
      <c r="W1668" s="191"/>
      <c r="Z1668" s="203" t="s">
        <v>62</v>
      </c>
      <c r="AB1668" s="191"/>
      <c r="AD1668" s="191"/>
      <c r="AF1668" s="191"/>
      <c r="AJ1668" s="189">
        <v>2.8622201411493902</v>
      </c>
      <c r="AK1668" s="208">
        <v>493</v>
      </c>
    </row>
    <row r="1669" spans="1:37" s="189" customFormat="1" ht="12" customHeight="1" x14ac:dyDescent="0.2">
      <c r="A1669" s="213"/>
      <c r="B1669" s="214"/>
      <c r="C1669" s="194" t="s">
        <v>63</v>
      </c>
      <c r="D1669" s="194"/>
      <c r="E1669" s="194"/>
      <c r="F1669" s="235"/>
      <c r="G1669" s="235"/>
      <c r="H1669" s="195"/>
      <c r="I1669" s="195"/>
      <c r="J1669" s="195"/>
      <c r="K1669" s="195"/>
      <c r="L1669" s="196"/>
      <c r="M1669" s="195"/>
      <c r="N1669" s="196">
        <v>138.25</v>
      </c>
      <c r="O1669" s="210"/>
      <c r="P1669" s="197">
        <f>AJ1669*AK1669</f>
        <v>8964.4734820798894</v>
      </c>
      <c r="V1669" s="190"/>
      <c r="W1669" s="191"/>
      <c r="AB1669" s="191" t="s">
        <v>63</v>
      </c>
      <c r="AD1669" s="191"/>
      <c r="AF1669" s="191"/>
      <c r="AJ1669" s="189">
        <v>2.8622201411493902</v>
      </c>
      <c r="AK1669" s="198">
        <v>3132</v>
      </c>
    </row>
    <row r="1670" spans="1:37" s="189" customFormat="1" ht="12" customHeight="1" x14ac:dyDescent="0.2">
      <c r="A1670" s="192">
        <v>410</v>
      </c>
      <c r="B1670" s="193" t="s">
        <v>468</v>
      </c>
      <c r="C1670" s="194" t="s">
        <v>469</v>
      </c>
      <c r="D1670" s="194"/>
      <c r="E1670" s="194"/>
      <c r="H1670" s="195" t="s">
        <v>419</v>
      </c>
      <c r="I1670" s="195"/>
      <c r="J1670" s="195"/>
      <c r="K1670" s="195" t="s">
        <v>470</v>
      </c>
      <c r="L1670" s="196">
        <v>233.04</v>
      </c>
      <c r="M1670" s="195"/>
      <c r="N1670" s="196">
        <v>664.86</v>
      </c>
      <c r="O1670" s="195" t="s">
        <v>403</v>
      </c>
      <c r="P1670" s="197">
        <f>AJ1670*AK1670</f>
        <v>11798.071421817785</v>
      </c>
      <c r="V1670" s="190"/>
      <c r="W1670" s="191" t="s">
        <v>469</v>
      </c>
      <c r="AB1670" s="191"/>
      <c r="AD1670" s="191"/>
      <c r="AF1670" s="191"/>
      <c r="AJ1670" s="189">
        <v>2.8622201411493902</v>
      </c>
      <c r="AK1670" s="198">
        <v>4122</v>
      </c>
    </row>
    <row r="1671" spans="1:37" s="189" customFormat="1" ht="12" customHeight="1" x14ac:dyDescent="0.2">
      <c r="A1671" s="199"/>
      <c r="B1671" s="200"/>
      <c r="C1671" s="243"/>
      <c r="D1671" s="243"/>
      <c r="E1671" s="243"/>
      <c r="F1671" s="243"/>
      <c r="G1671" s="243"/>
      <c r="H1671" s="243"/>
      <c r="I1671" s="243"/>
      <c r="J1671" s="243"/>
      <c r="K1671" s="243"/>
      <c r="L1671" s="243"/>
      <c r="M1671" s="243"/>
      <c r="N1671" s="243"/>
      <c r="P1671" s="288"/>
      <c r="V1671" s="190"/>
      <c r="W1671" s="191"/>
      <c r="X1671" s="203" t="s">
        <v>471</v>
      </c>
      <c r="AB1671" s="191"/>
      <c r="AD1671" s="191"/>
      <c r="AF1671" s="191"/>
      <c r="AJ1671" s="189">
        <v>2.8622201411493902</v>
      </c>
    </row>
    <row r="1672" spans="1:37" s="189" customFormat="1" ht="12" customHeight="1" x14ac:dyDescent="0.2">
      <c r="A1672" s="192">
        <v>411</v>
      </c>
      <c r="B1672" s="193" t="s">
        <v>417</v>
      </c>
      <c r="C1672" s="244" t="s">
        <v>418</v>
      </c>
      <c r="D1672" s="244"/>
      <c r="E1672" s="244"/>
      <c r="H1672" s="221" t="s">
        <v>419</v>
      </c>
      <c r="I1672" s="221"/>
      <c r="J1672" s="221"/>
      <c r="K1672" s="221" t="s">
        <v>472</v>
      </c>
      <c r="L1672" s="245">
        <v>9.14</v>
      </c>
      <c r="M1672" s="221"/>
      <c r="N1672" s="245">
        <v>17.38</v>
      </c>
      <c r="O1672" s="195" t="s">
        <v>403</v>
      </c>
      <c r="P1672" s="197">
        <f>AJ1672*AK1672</f>
        <v>309.11977524413413</v>
      </c>
      <c r="V1672" s="190"/>
      <c r="W1672" s="191" t="s">
        <v>418</v>
      </c>
      <c r="AB1672" s="191"/>
      <c r="AD1672" s="191"/>
      <c r="AF1672" s="191"/>
      <c r="AJ1672" s="189">
        <v>2.8622201411493902</v>
      </c>
      <c r="AK1672" s="198">
        <v>108</v>
      </c>
    </row>
    <row r="1673" spans="1:37" s="189" customFormat="1" ht="12" customHeight="1" x14ac:dyDescent="0.2">
      <c r="A1673" s="199"/>
      <c r="B1673" s="200"/>
      <c r="C1673" s="243"/>
      <c r="D1673" s="243"/>
      <c r="E1673" s="243"/>
      <c r="F1673" s="243"/>
      <c r="G1673" s="243"/>
      <c r="H1673" s="243"/>
      <c r="I1673" s="243"/>
      <c r="J1673" s="243"/>
      <c r="K1673" s="243"/>
      <c r="L1673" s="243"/>
      <c r="M1673" s="243"/>
      <c r="N1673" s="243"/>
      <c r="P1673" s="288"/>
      <c r="V1673" s="190"/>
      <c r="W1673" s="191"/>
      <c r="X1673" s="203" t="s">
        <v>473</v>
      </c>
      <c r="AB1673" s="191"/>
      <c r="AD1673" s="191"/>
      <c r="AF1673" s="191"/>
      <c r="AJ1673" s="189">
        <v>2.8622201411493902</v>
      </c>
    </row>
    <row r="1674" spans="1:37" s="189" customFormat="1" ht="12" customHeight="1" x14ac:dyDescent="0.2">
      <c r="A1674" s="192">
        <v>412</v>
      </c>
      <c r="B1674" s="193" t="s">
        <v>474</v>
      </c>
      <c r="C1674" s="244" t="s">
        <v>475</v>
      </c>
      <c r="D1674" s="244"/>
      <c r="E1674" s="244"/>
      <c r="H1674" s="221" t="s">
        <v>55</v>
      </c>
      <c r="I1674" s="221"/>
      <c r="J1674" s="221"/>
      <c r="K1674" s="221">
        <f>((0.86+2.14)*2*2-0.6*2)/100</f>
        <v>0.10800000000000001</v>
      </c>
      <c r="L1674" s="245"/>
      <c r="M1674" s="221"/>
      <c r="N1674" s="245"/>
      <c r="O1674" s="195"/>
      <c r="P1674" s="197"/>
      <c r="V1674" s="190"/>
      <c r="W1674" s="191" t="s">
        <v>475</v>
      </c>
      <c r="AB1674" s="191"/>
      <c r="AD1674" s="191"/>
      <c r="AF1674" s="191"/>
      <c r="AJ1674" s="189">
        <v>2.8622201411493902</v>
      </c>
      <c r="AK1674" s="198"/>
    </row>
    <row r="1675" spans="1:37" s="189" customFormat="1" ht="12" customHeight="1" x14ac:dyDescent="0.2">
      <c r="A1675" s="199"/>
      <c r="B1675" s="200"/>
      <c r="C1675" s="201" t="s">
        <v>476</v>
      </c>
      <c r="D1675" s="201"/>
      <c r="E1675" s="201"/>
      <c r="F1675" s="201"/>
      <c r="G1675" s="201"/>
      <c r="H1675" s="201"/>
      <c r="I1675" s="201"/>
      <c r="J1675" s="201"/>
      <c r="K1675" s="201"/>
      <c r="L1675" s="201"/>
      <c r="M1675" s="201"/>
      <c r="N1675" s="201"/>
      <c r="P1675" s="288"/>
      <c r="V1675" s="190"/>
      <c r="W1675" s="191"/>
      <c r="X1675" s="203" t="s">
        <v>477</v>
      </c>
      <c r="AB1675" s="191"/>
      <c r="AD1675" s="191"/>
      <c r="AF1675" s="191"/>
      <c r="AJ1675" s="189">
        <v>2.8622201411493902</v>
      </c>
    </row>
    <row r="1676" spans="1:37" s="189" customFormat="1" ht="12" customHeight="1" x14ac:dyDescent="0.2">
      <c r="A1676" s="204"/>
      <c r="B1676" s="205" t="s">
        <v>52</v>
      </c>
      <c r="C1676" s="201" t="s">
        <v>328</v>
      </c>
      <c r="D1676" s="201"/>
      <c r="E1676" s="201"/>
      <c r="H1676" s="206"/>
      <c r="I1676" s="206"/>
      <c r="J1676" s="206"/>
      <c r="K1676" s="206"/>
      <c r="L1676" s="207">
        <v>1309.29</v>
      </c>
      <c r="M1676" s="206"/>
      <c r="N1676" s="207">
        <v>210.8</v>
      </c>
      <c r="O1676" s="206" t="s">
        <v>329</v>
      </c>
      <c r="P1676" s="248">
        <f>AJ1676*AK1676</f>
        <v>21950.366262474672</v>
      </c>
      <c r="V1676" s="190"/>
      <c r="W1676" s="191"/>
      <c r="Y1676" s="203" t="s">
        <v>328</v>
      </c>
      <c r="AB1676" s="191"/>
      <c r="AD1676" s="191"/>
      <c r="AF1676" s="191"/>
      <c r="AJ1676" s="189">
        <v>2.8622201411493902</v>
      </c>
      <c r="AK1676" s="208">
        <v>7669</v>
      </c>
    </row>
    <row r="1677" spans="1:37" s="189" customFormat="1" ht="12" customHeight="1" x14ac:dyDescent="0.2">
      <c r="A1677" s="204"/>
      <c r="B1677" s="205" t="s">
        <v>64</v>
      </c>
      <c r="C1677" s="201" t="s">
        <v>344</v>
      </c>
      <c r="D1677" s="201"/>
      <c r="E1677" s="201"/>
      <c r="H1677" s="206"/>
      <c r="I1677" s="206"/>
      <c r="J1677" s="206"/>
      <c r="K1677" s="206"/>
      <c r="L1677" s="207">
        <v>30.15</v>
      </c>
      <c r="M1677" s="206"/>
      <c r="N1677" s="207">
        <v>4.8499999999999996</v>
      </c>
      <c r="O1677" s="206" t="s">
        <v>345</v>
      </c>
      <c r="P1677" s="248">
        <f>AJ1677*AK1677</f>
        <v>148.83544733976828</v>
      </c>
      <c r="V1677" s="190"/>
      <c r="W1677" s="191"/>
      <c r="Y1677" s="203" t="s">
        <v>344</v>
      </c>
      <c r="AB1677" s="191"/>
      <c r="AD1677" s="191"/>
      <c r="AF1677" s="191"/>
      <c r="AJ1677" s="189">
        <v>2.8622201411493902</v>
      </c>
      <c r="AK1677" s="208">
        <v>52</v>
      </c>
    </row>
    <row r="1678" spans="1:37" s="189" customFormat="1" ht="12" customHeight="1" x14ac:dyDescent="0.2">
      <c r="A1678" s="204"/>
      <c r="B1678" s="205" t="s">
        <v>68</v>
      </c>
      <c r="C1678" s="201" t="s">
        <v>346</v>
      </c>
      <c r="D1678" s="201"/>
      <c r="E1678" s="201"/>
      <c r="H1678" s="206"/>
      <c r="I1678" s="206"/>
      <c r="J1678" s="206"/>
      <c r="K1678" s="206"/>
      <c r="L1678" s="207">
        <v>15.38</v>
      </c>
      <c r="M1678" s="206"/>
      <c r="N1678" s="207">
        <v>2.48</v>
      </c>
      <c r="O1678" s="206" t="s">
        <v>329</v>
      </c>
      <c r="P1678" s="248">
        <f>AJ1678*AK1678</f>
        <v>257.59981270344514</v>
      </c>
      <c r="V1678" s="190"/>
      <c r="W1678" s="191"/>
      <c r="Y1678" s="203" t="s">
        <v>346</v>
      </c>
      <c r="AB1678" s="191"/>
      <c r="AD1678" s="191"/>
      <c r="AF1678" s="191"/>
      <c r="AJ1678" s="189">
        <v>2.8622201411493902</v>
      </c>
      <c r="AK1678" s="208">
        <v>90</v>
      </c>
    </row>
    <row r="1679" spans="1:37" s="189" customFormat="1" ht="12" customHeight="1" x14ac:dyDescent="0.2">
      <c r="A1679" s="204"/>
      <c r="B1679" s="205" t="s">
        <v>72</v>
      </c>
      <c r="C1679" s="201" t="s">
        <v>402</v>
      </c>
      <c r="D1679" s="201"/>
      <c r="E1679" s="201"/>
      <c r="H1679" s="206"/>
      <c r="I1679" s="206"/>
      <c r="J1679" s="206"/>
      <c r="K1679" s="206"/>
      <c r="L1679" s="207">
        <v>3.14</v>
      </c>
      <c r="M1679" s="206"/>
      <c r="N1679" s="207">
        <v>0.51</v>
      </c>
      <c r="O1679" s="206" t="s">
        <v>403</v>
      </c>
      <c r="P1679" s="248">
        <f>AJ1679*AK1679</f>
        <v>8.5866604234481709</v>
      </c>
      <c r="V1679" s="190"/>
      <c r="W1679" s="191"/>
      <c r="Y1679" s="203" t="s">
        <v>402</v>
      </c>
      <c r="AB1679" s="191"/>
      <c r="AD1679" s="191"/>
      <c r="AF1679" s="191"/>
      <c r="AJ1679" s="189">
        <v>2.8622201411493902</v>
      </c>
      <c r="AK1679" s="208">
        <v>3</v>
      </c>
    </row>
    <row r="1680" spans="1:37" s="189" customFormat="1" ht="12" customHeight="1" x14ac:dyDescent="0.2">
      <c r="A1680" s="204"/>
      <c r="B1680" s="205"/>
      <c r="C1680" s="201" t="s">
        <v>330</v>
      </c>
      <c r="D1680" s="201"/>
      <c r="E1680" s="201"/>
      <c r="H1680" s="206" t="s">
        <v>331</v>
      </c>
      <c r="I1680" s="206" t="s">
        <v>478</v>
      </c>
      <c r="J1680" s="206"/>
      <c r="K1680" s="206" t="s">
        <v>479</v>
      </c>
      <c r="L1680" s="207"/>
      <c r="M1680" s="206"/>
      <c r="N1680" s="207"/>
      <c r="O1680" s="206"/>
      <c r="P1680" s="248"/>
      <c r="V1680" s="190"/>
      <c r="W1680" s="191"/>
      <c r="Z1680" s="203" t="s">
        <v>330</v>
      </c>
      <c r="AB1680" s="191"/>
      <c r="AD1680" s="191"/>
      <c r="AF1680" s="191"/>
      <c r="AJ1680" s="189">
        <v>2.8622201411493902</v>
      </c>
      <c r="AK1680" s="208"/>
    </row>
    <row r="1681" spans="1:37" s="189" customFormat="1" ht="12" customHeight="1" x14ac:dyDescent="0.2">
      <c r="A1681" s="204"/>
      <c r="B1681" s="205"/>
      <c r="C1681" s="201" t="s">
        <v>349</v>
      </c>
      <c r="D1681" s="201"/>
      <c r="E1681" s="201"/>
      <c r="F1681" s="232"/>
      <c r="G1681" s="232"/>
      <c r="H1681" s="206" t="s">
        <v>331</v>
      </c>
      <c r="I1681" s="206" t="s">
        <v>480</v>
      </c>
      <c r="J1681" s="206"/>
      <c r="K1681" s="206" t="s">
        <v>481</v>
      </c>
      <c r="L1681" s="207"/>
      <c r="M1681" s="206"/>
      <c r="N1681" s="207"/>
      <c r="O1681" s="206"/>
      <c r="P1681" s="248"/>
      <c r="V1681" s="190"/>
      <c r="W1681" s="191"/>
      <c r="Z1681" s="203" t="s">
        <v>349</v>
      </c>
      <c r="AB1681" s="191"/>
      <c r="AD1681" s="191"/>
      <c r="AF1681" s="191"/>
      <c r="AJ1681" s="189">
        <v>2.8622201411493902</v>
      </c>
      <c r="AK1681" s="208"/>
    </row>
    <row r="1682" spans="1:37" s="189" customFormat="1" ht="12" customHeight="1" x14ac:dyDescent="0.2">
      <c r="A1682" s="204"/>
      <c r="B1682" s="205"/>
      <c r="C1682" s="209" t="s">
        <v>334</v>
      </c>
      <c r="D1682" s="209"/>
      <c r="E1682" s="209"/>
      <c r="H1682" s="210"/>
      <c r="I1682" s="210"/>
      <c r="J1682" s="210"/>
      <c r="K1682" s="210"/>
      <c r="L1682" s="211">
        <v>1342.58</v>
      </c>
      <c r="M1682" s="210"/>
      <c r="N1682" s="211">
        <v>216.16</v>
      </c>
      <c r="O1682" s="210"/>
      <c r="P1682" s="197"/>
      <c r="V1682" s="190"/>
      <c r="W1682" s="191"/>
      <c r="AA1682" s="203" t="s">
        <v>334</v>
      </c>
      <c r="AB1682" s="191"/>
      <c r="AD1682" s="191"/>
      <c r="AF1682" s="191"/>
      <c r="AJ1682" s="189">
        <v>2.8622201411493902</v>
      </c>
      <c r="AK1682" s="212"/>
    </row>
    <row r="1683" spans="1:37" s="189" customFormat="1" ht="12" customHeight="1" x14ac:dyDescent="0.2">
      <c r="A1683" s="204"/>
      <c r="B1683" s="205"/>
      <c r="C1683" s="201" t="s">
        <v>57</v>
      </c>
      <c r="D1683" s="201"/>
      <c r="E1683" s="201"/>
      <c r="H1683" s="206"/>
      <c r="I1683" s="206"/>
      <c r="J1683" s="206"/>
      <c r="K1683" s="206"/>
      <c r="L1683" s="207"/>
      <c r="M1683" s="206"/>
      <c r="N1683" s="207">
        <v>213.28</v>
      </c>
      <c r="O1683" s="206"/>
      <c r="P1683" s="248">
        <f>AJ1683*AK1683</f>
        <v>22207.966075178119</v>
      </c>
      <c r="V1683" s="190"/>
      <c r="W1683" s="191"/>
      <c r="Z1683" s="203" t="s">
        <v>57</v>
      </c>
      <c r="AB1683" s="191"/>
      <c r="AD1683" s="191"/>
      <c r="AF1683" s="191"/>
      <c r="AJ1683" s="189">
        <v>2.8622201411493902</v>
      </c>
      <c r="AK1683" s="208">
        <v>7759</v>
      </c>
    </row>
    <row r="1684" spans="1:37" s="189" customFormat="1" ht="12" customHeight="1" x14ac:dyDescent="0.2">
      <c r="A1684" s="204"/>
      <c r="B1684" s="205" t="s">
        <v>408</v>
      </c>
      <c r="C1684" s="201" t="s">
        <v>59</v>
      </c>
      <c r="D1684" s="201"/>
      <c r="E1684" s="201"/>
      <c r="H1684" s="206" t="s">
        <v>60</v>
      </c>
      <c r="I1684" s="206" t="s">
        <v>409</v>
      </c>
      <c r="J1684" s="206" t="s">
        <v>410</v>
      </c>
      <c r="K1684" s="206" t="s">
        <v>337</v>
      </c>
      <c r="L1684" s="207"/>
      <c r="M1684" s="206"/>
      <c r="N1684" s="207">
        <v>191.95</v>
      </c>
      <c r="O1684" s="206"/>
      <c r="P1684" s="248">
        <f>AJ1684*AK1684</f>
        <v>19986.883245646193</v>
      </c>
      <c r="V1684" s="190"/>
      <c r="W1684" s="191"/>
      <c r="Z1684" s="203" t="s">
        <v>59</v>
      </c>
      <c r="AB1684" s="191"/>
      <c r="AD1684" s="191"/>
      <c r="AF1684" s="191"/>
      <c r="AJ1684" s="189">
        <v>2.8622201411493902</v>
      </c>
      <c r="AK1684" s="208">
        <v>6983</v>
      </c>
    </row>
    <row r="1685" spans="1:37" s="189" customFormat="1" ht="12" customHeight="1" x14ac:dyDescent="0.2">
      <c r="A1685" s="204"/>
      <c r="B1685" s="205" t="s">
        <v>411</v>
      </c>
      <c r="C1685" s="201" t="s">
        <v>62</v>
      </c>
      <c r="D1685" s="201"/>
      <c r="E1685" s="201"/>
      <c r="F1685" s="232"/>
      <c r="G1685" s="232"/>
      <c r="H1685" s="206" t="s">
        <v>60</v>
      </c>
      <c r="I1685" s="206" t="s">
        <v>248</v>
      </c>
      <c r="J1685" s="206" t="s">
        <v>412</v>
      </c>
      <c r="K1685" s="206" t="s">
        <v>413</v>
      </c>
      <c r="L1685" s="207"/>
      <c r="M1685" s="206"/>
      <c r="N1685" s="207">
        <v>88.83</v>
      </c>
      <c r="O1685" s="206"/>
      <c r="P1685" s="248">
        <f>AJ1685*AK1685</f>
        <v>9250.6954961948286</v>
      </c>
      <c r="V1685" s="190"/>
      <c r="W1685" s="191"/>
      <c r="Z1685" s="203" t="s">
        <v>62</v>
      </c>
      <c r="AB1685" s="191"/>
      <c r="AD1685" s="191"/>
      <c r="AF1685" s="191"/>
      <c r="AJ1685" s="189">
        <v>2.8622201411493902</v>
      </c>
      <c r="AK1685" s="208">
        <v>3232</v>
      </c>
    </row>
    <row r="1686" spans="1:37" s="189" customFormat="1" ht="12" customHeight="1" x14ac:dyDescent="0.2">
      <c r="A1686" s="213"/>
      <c r="B1686" s="214"/>
      <c r="C1686" s="194" t="s">
        <v>63</v>
      </c>
      <c r="D1686" s="194"/>
      <c r="E1686" s="194"/>
      <c r="F1686" s="235"/>
      <c r="G1686" s="235"/>
      <c r="H1686" s="195"/>
      <c r="I1686" s="195"/>
      <c r="J1686" s="195"/>
      <c r="K1686" s="195"/>
      <c r="L1686" s="196"/>
      <c r="M1686" s="195"/>
      <c r="N1686" s="196">
        <v>496.94</v>
      </c>
      <c r="O1686" s="210"/>
      <c r="P1686" s="197">
        <f>AJ1686*AK1686</f>
        <v>51345.367112078908</v>
      </c>
      <c r="V1686" s="190"/>
      <c r="W1686" s="191"/>
      <c r="AB1686" s="191" t="s">
        <v>63</v>
      </c>
      <c r="AD1686" s="191"/>
      <c r="AF1686" s="191"/>
      <c r="AJ1686" s="189">
        <v>2.8622201411493902</v>
      </c>
      <c r="AK1686" s="198">
        <v>17939</v>
      </c>
    </row>
    <row r="1687" spans="1:37" s="189" customFormat="1" ht="12" customHeight="1" x14ac:dyDescent="0.2">
      <c r="A1687" s="192">
        <v>413</v>
      </c>
      <c r="B1687" s="193" t="s">
        <v>482</v>
      </c>
      <c r="C1687" s="194" t="s">
        <v>483</v>
      </c>
      <c r="D1687" s="194"/>
      <c r="E1687" s="194"/>
      <c r="F1687" s="235"/>
      <c r="G1687" s="235"/>
      <c r="H1687" s="195" t="s">
        <v>105</v>
      </c>
      <c r="I1687" s="195"/>
      <c r="J1687" s="195"/>
      <c r="K1687" s="195">
        <f>10.8*1.05</f>
        <v>11.340000000000002</v>
      </c>
      <c r="L1687" s="196">
        <v>136.62</v>
      </c>
      <c r="M1687" s="195"/>
      <c r="N1687" s="196">
        <v>2199.58</v>
      </c>
      <c r="O1687" s="195" t="s">
        <v>403</v>
      </c>
      <c r="P1687" s="197">
        <f>AJ1687*AK1687</f>
        <v>39032.096064854231</v>
      </c>
      <c r="V1687" s="190"/>
      <c r="W1687" s="191" t="s">
        <v>484</v>
      </c>
      <c r="AB1687" s="191"/>
      <c r="AD1687" s="191"/>
      <c r="AF1687" s="191"/>
      <c r="AJ1687" s="189">
        <v>2.8622201411493902</v>
      </c>
      <c r="AK1687" s="198">
        <v>13637</v>
      </c>
    </row>
    <row r="1688" spans="1:37" s="189" customFormat="1" ht="12" customHeight="1" x14ac:dyDescent="0.2">
      <c r="A1688" s="192">
        <v>414</v>
      </c>
      <c r="B1688" s="193" t="s">
        <v>485</v>
      </c>
      <c r="C1688" s="194" t="s">
        <v>486</v>
      </c>
      <c r="D1688" s="194"/>
      <c r="E1688" s="194"/>
      <c r="F1688" s="235"/>
      <c r="G1688" s="235"/>
      <c r="H1688" s="195" t="s">
        <v>71</v>
      </c>
      <c r="I1688" s="195"/>
      <c r="J1688" s="195"/>
      <c r="K1688" s="195" t="s">
        <v>487</v>
      </c>
      <c r="L1688" s="196">
        <v>3536.53</v>
      </c>
      <c r="M1688" s="195"/>
      <c r="N1688" s="196">
        <v>213.52</v>
      </c>
      <c r="O1688" s="195" t="s">
        <v>403</v>
      </c>
      <c r="P1688" s="197">
        <f>AJ1688*AK1688</f>
        <v>3789.5794668817925</v>
      </c>
      <c r="V1688" s="190"/>
      <c r="W1688" s="191" t="s">
        <v>486</v>
      </c>
      <c r="AB1688" s="191"/>
      <c r="AD1688" s="191"/>
      <c r="AF1688" s="191"/>
      <c r="AJ1688" s="189">
        <v>2.8622201411493902</v>
      </c>
      <c r="AK1688" s="198">
        <v>1324</v>
      </c>
    </row>
    <row r="1689" spans="1:37" s="189" customFormat="1" ht="12" customHeight="1" x14ac:dyDescent="0.2">
      <c r="A1689" s="192">
        <v>415</v>
      </c>
      <c r="B1689" s="193" t="s">
        <v>488</v>
      </c>
      <c r="C1689" s="194" t="s">
        <v>489</v>
      </c>
      <c r="D1689" s="194"/>
      <c r="E1689" s="194"/>
      <c r="H1689" s="195" t="s">
        <v>71</v>
      </c>
      <c r="I1689" s="195"/>
      <c r="J1689" s="195"/>
      <c r="K1689" s="195" t="s">
        <v>490</v>
      </c>
      <c r="L1689" s="196">
        <v>12343.7</v>
      </c>
      <c r="M1689" s="195"/>
      <c r="N1689" s="196">
        <v>99.37</v>
      </c>
      <c r="O1689" s="195" t="s">
        <v>403</v>
      </c>
      <c r="P1689" s="215">
        <f>AJ1689*AK1689</f>
        <v>1763.1276069480243</v>
      </c>
      <c r="V1689" s="190"/>
      <c r="W1689" s="191" t="s">
        <v>489</v>
      </c>
      <c r="AB1689" s="191"/>
      <c r="AD1689" s="191"/>
      <c r="AF1689" s="191"/>
      <c r="AJ1689" s="189">
        <v>2.8622201411493902</v>
      </c>
      <c r="AK1689" s="198">
        <v>616</v>
      </c>
    </row>
    <row r="1690" spans="1:37" s="189" customFormat="1" ht="12" customHeight="1" x14ac:dyDescent="0.2">
      <c r="A1690" s="219" t="s">
        <v>159</v>
      </c>
      <c r="B1690" s="219"/>
      <c r="C1690" s="219"/>
      <c r="D1690" s="219"/>
      <c r="E1690" s="219"/>
      <c r="F1690" s="219"/>
      <c r="G1690" s="219"/>
      <c r="H1690" s="219"/>
      <c r="I1690" s="219"/>
      <c r="J1690" s="219"/>
      <c r="K1690" s="219"/>
      <c r="L1690" s="219"/>
      <c r="M1690" s="219"/>
      <c r="N1690" s="219"/>
      <c r="O1690" s="235"/>
      <c r="P1690" s="288"/>
      <c r="V1690" s="190"/>
      <c r="W1690" s="191"/>
      <c r="AB1690" s="191"/>
      <c r="AD1690" s="191" t="s">
        <v>159</v>
      </c>
      <c r="AF1690" s="191"/>
      <c r="AJ1690" s="189">
        <v>2.8622201411493902</v>
      </c>
    </row>
    <row r="1691" spans="1:37" s="189" customFormat="1" ht="12" customHeight="1" x14ac:dyDescent="0.2">
      <c r="A1691" s="213">
        <v>416</v>
      </c>
      <c r="B1691" s="214" t="s">
        <v>491</v>
      </c>
      <c r="C1691" s="244" t="s">
        <v>186</v>
      </c>
      <c r="D1691" s="244"/>
      <c r="E1691" s="244"/>
      <c r="H1691" s="221" t="s">
        <v>55</v>
      </c>
      <c r="I1691" s="221"/>
      <c r="J1691" s="221"/>
      <c r="K1691" s="221">
        <v>0.184</v>
      </c>
      <c r="L1691" s="245"/>
      <c r="M1691" s="221"/>
      <c r="N1691" s="245"/>
      <c r="O1691" s="195"/>
      <c r="P1691" s="197"/>
      <c r="V1691" s="190"/>
      <c r="W1691" s="191" t="s">
        <v>186</v>
      </c>
      <c r="AB1691" s="191"/>
      <c r="AD1691" s="191"/>
      <c r="AF1691" s="191"/>
      <c r="AJ1691" s="189">
        <v>2.8622201411493902</v>
      </c>
      <c r="AK1691" s="198"/>
    </row>
    <row r="1692" spans="1:37" s="189" customFormat="1" ht="12" customHeight="1" x14ac:dyDescent="0.2">
      <c r="A1692" s="199"/>
      <c r="B1692" s="200"/>
      <c r="C1692" s="201" t="s">
        <v>342</v>
      </c>
      <c r="D1692" s="201"/>
      <c r="E1692" s="201"/>
      <c r="F1692" s="201"/>
      <c r="G1692" s="201"/>
      <c r="H1692" s="201"/>
      <c r="I1692" s="201"/>
      <c r="J1692" s="201"/>
      <c r="K1692" s="201"/>
      <c r="L1692" s="201"/>
      <c r="M1692" s="201"/>
      <c r="N1692" s="201"/>
      <c r="P1692" s="288"/>
      <c r="V1692" s="190"/>
      <c r="W1692" s="191"/>
      <c r="X1692" s="203" t="s">
        <v>343</v>
      </c>
      <c r="AB1692" s="191"/>
      <c r="AD1692" s="191"/>
      <c r="AF1692" s="191"/>
      <c r="AJ1692" s="189">
        <v>2.8622201411493902</v>
      </c>
    </row>
    <row r="1693" spans="1:37" s="189" customFormat="1" ht="12" customHeight="1" x14ac:dyDescent="0.2">
      <c r="A1693" s="204"/>
      <c r="B1693" s="205" t="s">
        <v>52</v>
      </c>
      <c r="C1693" s="201" t="s">
        <v>328</v>
      </c>
      <c r="D1693" s="201"/>
      <c r="E1693" s="201"/>
      <c r="H1693" s="206"/>
      <c r="I1693" s="206"/>
      <c r="J1693" s="206"/>
      <c r="K1693" s="206"/>
      <c r="L1693" s="207">
        <v>280.13</v>
      </c>
      <c r="M1693" s="206"/>
      <c r="N1693" s="207">
        <v>15.41</v>
      </c>
      <c r="O1693" s="206" t="s">
        <v>329</v>
      </c>
      <c r="P1693" s="248">
        <f>AJ1693*AK1693</f>
        <v>1605.7054991848079</v>
      </c>
      <c r="V1693" s="190"/>
      <c r="W1693" s="191"/>
      <c r="Y1693" s="203" t="s">
        <v>328</v>
      </c>
      <c r="AB1693" s="191"/>
      <c r="AD1693" s="191"/>
      <c r="AF1693" s="191"/>
      <c r="AJ1693" s="189">
        <v>2.8622201411493902</v>
      </c>
      <c r="AK1693" s="208">
        <v>561</v>
      </c>
    </row>
    <row r="1694" spans="1:37" s="189" customFormat="1" ht="12" customHeight="1" x14ac:dyDescent="0.2">
      <c r="A1694" s="204"/>
      <c r="B1694" s="205" t="s">
        <v>64</v>
      </c>
      <c r="C1694" s="201" t="s">
        <v>344</v>
      </c>
      <c r="D1694" s="201"/>
      <c r="E1694" s="201"/>
      <c r="H1694" s="206"/>
      <c r="I1694" s="206"/>
      <c r="J1694" s="206"/>
      <c r="K1694" s="206"/>
      <c r="L1694" s="207">
        <v>42.63</v>
      </c>
      <c r="M1694" s="206"/>
      <c r="N1694" s="207">
        <v>2.34</v>
      </c>
      <c r="O1694" s="206" t="s">
        <v>345</v>
      </c>
      <c r="P1694" s="248">
        <f>AJ1694*AK1694</f>
        <v>71.555503528734761</v>
      </c>
      <c r="V1694" s="190"/>
      <c r="W1694" s="191"/>
      <c r="Y1694" s="203" t="s">
        <v>344</v>
      </c>
      <c r="AB1694" s="191"/>
      <c r="AD1694" s="191"/>
      <c r="AF1694" s="191"/>
      <c r="AJ1694" s="189">
        <v>2.8622201411493902</v>
      </c>
      <c r="AK1694" s="208">
        <v>25</v>
      </c>
    </row>
    <row r="1695" spans="1:37" s="189" customFormat="1" ht="12" customHeight="1" x14ac:dyDescent="0.2">
      <c r="A1695" s="204"/>
      <c r="B1695" s="205" t="s">
        <v>68</v>
      </c>
      <c r="C1695" s="201" t="s">
        <v>346</v>
      </c>
      <c r="D1695" s="201"/>
      <c r="E1695" s="201"/>
      <c r="H1695" s="206"/>
      <c r="I1695" s="206"/>
      <c r="J1695" s="206"/>
      <c r="K1695" s="206"/>
      <c r="L1695" s="207">
        <v>15.04</v>
      </c>
      <c r="M1695" s="206"/>
      <c r="N1695" s="207">
        <v>0.83</v>
      </c>
      <c r="O1695" s="206" t="s">
        <v>329</v>
      </c>
      <c r="P1695" s="248">
        <f>AJ1695*AK1695</f>
        <v>85.866604234481699</v>
      </c>
      <c r="V1695" s="190"/>
      <c r="W1695" s="191"/>
      <c r="Y1695" s="203" t="s">
        <v>346</v>
      </c>
      <c r="AB1695" s="191"/>
      <c r="AD1695" s="191"/>
      <c r="AF1695" s="191"/>
      <c r="AJ1695" s="189">
        <v>2.8622201411493902</v>
      </c>
      <c r="AK1695" s="208">
        <v>30</v>
      </c>
    </row>
    <row r="1696" spans="1:37" s="189" customFormat="1" ht="12" customHeight="1" x14ac:dyDescent="0.2">
      <c r="A1696" s="204"/>
      <c r="B1696" s="205" t="s">
        <v>72</v>
      </c>
      <c r="C1696" s="201" t="s">
        <v>402</v>
      </c>
      <c r="D1696" s="201"/>
      <c r="E1696" s="201"/>
      <c r="H1696" s="206"/>
      <c r="I1696" s="206"/>
      <c r="J1696" s="206"/>
      <c r="K1696" s="206"/>
      <c r="L1696" s="207">
        <v>8.5399999999999991</v>
      </c>
      <c r="M1696" s="206"/>
      <c r="N1696" s="207">
        <v>0.47</v>
      </c>
      <c r="O1696" s="206" t="s">
        <v>403</v>
      </c>
      <c r="P1696" s="248">
        <f>AJ1696*AK1696</f>
        <v>8.5866604234481709</v>
      </c>
      <c r="V1696" s="190"/>
      <c r="W1696" s="191"/>
      <c r="Y1696" s="203" t="s">
        <v>402</v>
      </c>
      <c r="AB1696" s="191"/>
      <c r="AD1696" s="191"/>
      <c r="AF1696" s="191"/>
      <c r="AJ1696" s="189">
        <v>2.8622201411493902</v>
      </c>
      <c r="AK1696" s="208">
        <v>3</v>
      </c>
    </row>
    <row r="1697" spans="1:37" s="189" customFormat="1" ht="12" customHeight="1" x14ac:dyDescent="0.2">
      <c r="A1697" s="204"/>
      <c r="B1697" s="205"/>
      <c r="C1697" s="201" t="s">
        <v>330</v>
      </c>
      <c r="D1697" s="201"/>
      <c r="E1697" s="201"/>
      <c r="H1697" s="206" t="s">
        <v>331</v>
      </c>
      <c r="I1697" s="206" t="s">
        <v>492</v>
      </c>
      <c r="J1697" s="206"/>
      <c r="K1697" s="206" t="s">
        <v>493</v>
      </c>
      <c r="L1697" s="207"/>
      <c r="M1697" s="206"/>
      <c r="N1697" s="207"/>
      <c r="O1697" s="206"/>
      <c r="P1697" s="248"/>
      <c r="V1697" s="190"/>
      <c r="W1697" s="191"/>
      <c r="Z1697" s="203" t="s">
        <v>330</v>
      </c>
      <c r="AB1697" s="191"/>
      <c r="AD1697" s="191"/>
      <c r="AF1697" s="191"/>
      <c r="AJ1697" s="189">
        <v>2.8622201411493902</v>
      </c>
      <c r="AK1697" s="208"/>
    </row>
    <row r="1698" spans="1:37" s="189" customFormat="1" ht="12" customHeight="1" x14ac:dyDescent="0.2">
      <c r="A1698" s="204"/>
      <c r="B1698" s="205"/>
      <c r="C1698" s="201" t="s">
        <v>349</v>
      </c>
      <c r="D1698" s="201"/>
      <c r="E1698" s="201"/>
      <c r="F1698" s="232"/>
      <c r="G1698" s="232"/>
      <c r="H1698" s="206" t="s">
        <v>331</v>
      </c>
      <c r="I1698" s="206" t="s">
        <v>494</v>
      </c>
      <c r="J1698" s="206"/>
      <c r="K1698" s="206" t="s">
        <v>495</v>
      </c>
      <c r="L1698" s="207"/>
      <c r="M1698" s="206"/>
      <c r="N1698" s="207"/>
      <c r="O1698" s="206"/>
      <c r="P1698" s="248"/>
      <c r="V1698" s="190"/>
      <c r="W1698" s="191"/>
      <c r="Z1698" s="203" t="s">
        <v>349</v>
      </c>
      <c r="AB1698" s="191"/>
      <c r="AD1698" s="191"/>
      <c r="AF1698" s="191"/>
      <c r="AJ1698" s="189">
        <v>2.8622201411493902</v>
      </c>
      <c r="AK1698" s="208"/>
    </row>
    <row r="1699" spans="1:37" s="189" customFormat="1" ht="12" customHeight="1" x14ac:dyDescent="0.2">
      <c r="A1699" s="204"/>
      <c r="B1699" s="205"/>
      <c r="C1699" s="246" t="s">
        <v>334</v>
      </c>
      <c r="D1699" s="246"/>
      <c r="E1699" s="246"/>
      <c r="H1699" s="210"/>
      <c r="I1699" s="210"/>
      <c r="J1699" s="210"/>
      <c r="K1699" s="210"/>
      <c r="L1699" s="211">
        <v>331.3</v>
      </c>
      <c r="M1699" s="210"/>
      <c r="N1699" s="211">
        <v>18.22</v>
      </c>
      <c r="O1699" s="210"/>
      <c r="P1699" s="197"/>
      <c r="V1699" s="190"/>
      <c r="W1699" s="191"/>
      <c r="AA1699" s="203" t="s">
        <v>334</v>
      </c>
      <c r="AB1699" s="191"/>
      <c r="AD1699" s="191"/>
      <c r="AF1699" s="191"/>
      <c r="AJ1699" s="189">
        <v>2.8622201411493902</v>
      </c>
      <c r="AK1699" s="212"/>
    </row>
    <row r="1700" spans="1:37" s="189" customFormat="1" ht="12" customHeight="1" x14ac:dyDescent="0.2">
      <c r="A1700" s="204"/>
      <c r="B1700" s="205"/>
      <c r="C1700" s="201" t="s">
        <v>57</v>
      </c>
      <c r="D1700" s="201"/>
      <c r="E1700" s="201"/>
      <c r="H1700" s="206"/>
      <c r="I1700" s="206"/>
      <c r="J1700" s="206"/>
      <c r="K1700" s="206"/>
      <c r="L1700" s="207"/>
      <c r="M1700" s="206"/>
      <c r="N1700" s="207">
        <v>16.239999999999998</v>
      </c>
      <c r="O1700" s="206"/>
      <c r="P1700" s="248">
        <f>AJ1700*AK1700</f>
        <v>1691.5721034192895</v>
      </c>
      <c r="V1700" s="190"/>
      <c r="W1700" s="191"/>
      <c r="Z1700" s="203" t="s">
        <v>57</v>
      </c>
      <c r="AB1700" s="191"/>
      <c r="AD1700" s="191"/>
      <c r="AF1700" s="191"/>
      <c r="AJ1700" s="189">
        <v>2.8622201411493902</v>
      </c>
      <c r="AK1700" s="208">
        <v>591</v>
      </c>
    </row>
    <row r="1701" spans="1:37" s="189" customFormat="1" ht="12" customHeight="1" x14ac:dyDescent="0.2">
      <c r="A1701" s="204"/>
      <c r="B1701" s="205" t="s">
        <v>496</v>
      </c>
      <c r="C1701" s="201" t="s">
        <v>188</v>
      </c>
      <c r="D1701" s="201"/>
      <c r="E1701" s="201"/>
      <c r="H1701" s="206" t="s">
        <v>60</v>
      </c>
      <c r="I1701" s="206" t="s">
        <v>497</v>
      </c>
      <c r="J1701" s="206" t="s">
        <v>410</v>
      </c>
      <c r="K1701" s="206" t="s">
        <v>498</v>
      </c>
      <c r="L1701" s="207"/>
      <c r="M1701" s="206"/>
      <c r="N1701" s="207">
        <v>16.37</v>
      </c>
      <c r="O1701" s="206"/>
      <c r="P1701" s="248">
        <f>AJ1701*AK1701</f>
        <v>1705.8832041250366</v>
      </c>
      <c r="V1701" s="190"/>
      <c r="W1701" s="191"/>
      <c r="Z1701" s="203" t="s">
        <v>188</v>
      </c>
      <c r="AB1701" s="191"/>
      <c r="AD1701" s="191"/>
      <c r="AF1701" s="191"/>
      <c r="AJ1701" s="189">
        <v>2.8622201411493902</v>
      </c>
      <c r="AK1701" s="208">
        <v>596</v>
      </c>
    </row>
    <row r="1702" spans="1:37" s="189" customFormat="1" ht="12" customHeight="1" x14ac:dyDescent="0.2">
      <c r="A1702" s="204"/>
      <c r="B1702" s="205" t="s">
        <v>499</v>
      </c>
      <c r="C1702" s="201" t="s">
        <v>190</v>
      </c>
      <c r="D1702" s="201"/>
      <c r="E1702" s="201"/>
      <c r="F1702" s="232"/>
      <c r="G1702" s="232"/>
      <c r="H1702" s="206" t="s">
        <v>60</v>
      </c>
      <c r="I1702" s="206" t="s">
        <v>311</v>
      </c>
      <c r="J1702" s="206" t="s">
        <v>412</v>
      </c>
      <c r="K1702" s="206" t="s">
        <v>500</v>
      </c>
      <c r="L1702" s="207"/>
      <c r="M1702" s="206"/>
      <c r="N1702" s="207">
        <v>8.9700000000000006</v>
      </c>
      <c r="O1702" s="206"/>
      <c r="P1702" s="248">
        <f>AJ1702*AK1702</f>
        <v>935.94598615585062</v>
      </c>
      <c r="V1702" s="190"/>
      <c r="W1702" s="191"/>
      <c r="Z1702" s="203" t="s">
        <v>190</v>
      </c>
      <c r="AB1702" s="191"/>
      <c r="AD1702" s="191"/>
      <c r="AF1702" s="191"/>
      <c r="AJ1702" s="189">
        <v>2.8622201411493902</v>
      </c>
      <c r="AK1702" s="208">
        <v>327</v>
      </c>
    </row>
    <row r="1703" spans="1:37" s="189" customFormat="1" ht="12" customHeight="1" x14ac:dyDescent="0.2">
      <c r="A1703" s="213"/>
      <c r="B1703" s="214"/>
      <c r="C1703" s="194" t="s">
        <v>63</v>
      </c>
      <c r="D1703" s="194"/>
      <c r="E1703" s="194"/>
      <c r="F1703" s="232"/>
      <c r="G1703" s="232"/>
      <c r="H1703" s="195"/>
      <c r="I1703" s="195"/>
      <c r="J1703" s="195"/>
      <c r="K1703" s="195"/>
      <c r="L1703" s="196"/>
      <c r="M1703" s="195"/>
      <c r="N1703" s="196">
        <v>43.56</v>
      </c>
      <c r="O1703" s="210"/>
      <c r="P1703" s="215">
        <f>AJ1703*AK1703</f>
        <v>4327.6768534178782</v>
      </c>
      <c r="V1703" s="190"/>
      <c r="W1703" s="191"/>
      <c r="AB1703" s="191" t="s">
        <v>63</v>
      </c>
      <c r="AD1703" s="191"/>
      <c r="AF1703" s="191"/>
      <c r="AJ1703" s="189">
        <v>2.8622201411493902</v>
      </c>
      <c r="AK1703" s="198">
        <v>1512</v>
      </c>
    </row>
    <row r="1704" spans="1:37" s="189" customFormat="1" ht="12" customHeight="1" x14ac:dyDescent="0.2">
      <c r="A1704" s="192">
        <v>417</v>
      </c>
      <c r="B1704" s="193" t="s">
        <v>501</v>
      </c>
      <c r="C1704" s="194" t="s">
        <v>502</v>
      </c>
      <c r="D1704" s="194"/>
      <c r="E1704" s="194"/>
      <c r="H1704" s="195" t="s">
        <v>55</v>
      </c>
      <c r="I1704" s="195"/>
      <c r="J1704" s="195"/>
      <c r="K1704" s="195">
        <v>0.184</v>
      </c>
      <c r="L1704" s="196"/>
      <c r="M1704" s="195"/>
      <c r="N1704" s="196"/>
      <c r="O1704" s="195"/>
      <c r="P1704" s="197"/>
      <c r="V1704" s="190"/>
      <c r="W1704" s="191" t="s">
        <v>502</v>
      </c>
      <c r="AB1704" s="191"/>
      <c r="AD1704" s="191"/>
      <c r="AF1704" s="191"/>
      <c r="AJ1704" s="189">
        <v>2.8622201411493902</v>
      </c>
      <c r="AK1704" s="198"/>
    </row>
    <row r="1705" spans="1:37" s="189" customFormat="1" ht="12" customHeight="1" x14ac:dyDescent="0.2">
      <c r="A1705" s="217"/>
      <c r="B1705" s="205"/>
      <c r="C1705" s="201" t="s">
        <v>503</v>
      </c>
      <c r="D1705" s="201"/>
      <c r="E1705" s="201"/>
      <c r="F1705" s="201"/>
      <c r="G1705" s="201"/>
      <c r="H1705" s="201"/>
      <c r="I1705" s="201"/>
      <c r="J1705" s="201"/>
      <c r="K1705" s="201"/>
      <c r="L1705" s="201"/>
      <c r="M1705" s="201"/>
      <c r="N1705" s="201"/>
      <c r="P1705" s="288"/>
      <c r="V1705" s="190"/>
      <c r="W1705" s="191"/>
      <c r="AB1705" s="191"/>
      <c r="AC1705" s="203" t="s">
        <v>503</v>
      </c>
      <c r="AD1705" s="191"/>
      <c r="AF1705" s="191"/>
      <c r="AJ1705" s="189">
        <v>2.8622201411493902</v>
      </c>
    </row>
    <row r="1706" spans="1:37" s="189" customFormat="1" ht="12" customHeight="1" x14ac:dyDescent="0.2">
      <c r="A1706" s="204"/>
      <c r="B1706" s="205" t="s">
        <v>52</v>
      </c>
      <c r="C1706" s="201" t="s">
        <v>328</v>
      </c>
      <c r="D1706" s="201"/>
      <c r="E1706" s="201"/>
      <c r="H1706" s="206"/>
      <c r="I1706" s="206"/>
      <c r="J1706" s="206"/>
      <c r="K1706" s="206"/>
      <c r="L1706" s="207">
        <v>3.55</v>
      </c>
      <c r="M1706" s="206" t="s">
        <v>84</v>
      </c>
      <c r="N1706" s="207">
        <v>2.39</v>
      </c>
      <c r="O1706" s="206" t="s">
        <v>329</v>
      </c>
      <c r="P1706" s="248">
        <f>AJ1706*AK1706</f>
        <v>249.01315227999694</v>
      </c>
      <c r="V1706" s="190"/>
      <c r="W1706" s="191"/>
      <c r="Y1706" s="203" t="s">
        <v>328</v>
      </c>
      <c r="AB1706" s="191"/>
      <c r="AD1706" s="191"/>
      <c r="AF1706" s="191"/>
      <c r="AJ1706" s="189">
        <v>2.8622201411493902</v>
      </c>
      <c r="AK1706" s="208">
        <v>87</v>
      </c>
    </row>
    <row r="1707" spans="1:37" s="189" customFormat="1" ht="12" customHeight="1" x14ac:dyDescent="0.2">
      <c r="A1707" s="204"/>
      <c r="B1707" s="205" t="s">
        <v>64</v>
      </c>
      <c r="C1707" s="243" t="s">
        <v>344</v>
      </c>
      <c r="D1707" s="243"/>
      <c r="E1707" s="243"/>
      <c r="H1707" s="206"/>
      <c r="I1707" s="206"/>
      <c r="J1707" s="206"/>
      <c r="K1707" s="206"/>
      <c r="L1707" s="207">
        <v>7.48</v>
      </c>
      <c r="M1707" s="206" t="s">
        <v>84</v>
      </c>
      <c r="N1707" s="207">
        <v>5.04</v>
      </c>
      <c r="O1707" s="206" t="s">
        <v>345</v>
      </c>
      <c r="P1707" s="248">
        <f>AJ1707*AK1707</f>
        <v>157.42210776321645</v>
      </c>
      <c r="V1707" s="190"/>
      <c r="W1707" s="191"/>
      <c r="Y1707" s="203" t="s">
        <v>344</v>
      </c>
      <c r="AB1707" s="191"/>
      <c r="AD1707" s="191"/>
      <c r="AF1707" s="191"/>
      <c r="AJ1707" s="189">
        <v>2.8622201411493902</v>
      </c>
      <c r="AK1707" s="208">
        <v>55</v>
      </c>
    </row>
    <row r="1708" spans="1:37" s="189" customFormat="1" ht="12" customHeight="1" x14ac:dyDescent="0.2">
      <c r="A1708" s="204"/>
      <c r="B1708" s="205" t="s">
        <v>68</v>
      </c>
      <c r="C1708" s="201" t="s">
        <v>346</v>
      </c>
      <c r="D1708" s="201"/>
      <c r="E1708" s="201"/>
      <c r="H1708" s="206"/>
      <c r="I1708" s="206"/>
      <c r="J1708" s="206"/>
      <c r="K1708" s="206"/>
      <c r="L1708" s="207">
        <v>2.4900000000000002</v>
      </c>
      <c r="M1708" s="206" t="s">
        <v>84</v>
      </c>
      <c r="N1708" s="207">
        <v>1.68</v>
      </c>
      <c r="O1708" s="206" t="s">
        <v>329</v>
      </c>
      <c r="P1708" s="248">
        <f>AJ1708*AK1708</f>
        <v>174.5954286101128</v>
      </c>
      <c r="V1708" s="190"/>
      <c r="W1708" s="191"/>
      <c r="Y1708" s="203" t="s">
        <v>346</v>
      </c>
      <c r="AB1708" s="191"/>
      <c r="AD1708" s="191"/>
      <c r="AF1708" s="191"/>
      <c r="AJ1708" s="189">
        <v>2.8622201411493902</v>
      </c>
      <c r="AK1708" s="208">
        <v>61</v>
      </c>
    </row>
    <row r="1709" spans="1:37" s="189" customFormat="1" ht="12" customHeight="1" x14ac:dyDescent="0.2">
      <c r="A1709" s="204"/>
      <c r="B1709" s="205"/>
      <c r="C1709" s="201" t="s">
        <v>330</v>
      </c>
      <c r="D1709" s="201"/>
      <c r="E1709" s="201"/>
      <c r="H1709" s="206" t="s">
        <v>331</v>
      </c>
      <c r="I1709" s="206" t="s">
        <v>504</v>
      </c>
      <c r="J1709" s="206" t="s">
        <v>84</v>
      </c>
      <c r="K1709" s="206" t="s">
        <v>505</v>
      </c>
      <c r="L1709" s="207"/>
      <c r="M1709" s="206"/>
      <c r="N1709" s="207"/>
      <c r="O1709" s="206"/>
      <c r="P1709" s="248"/>
      <c r="V1709" s="190"/>
      <c r="W1709" s="191"/>
      <c r="Z1709" s="203" t="s">
        <v>330</v>
      </c>
      <c r="AB1709" s="191"/>
      <c r="AD1709" s="191"/>
      <c r="AF1709" s="191"/>
      <c r="AJ1709" s="189">
        <v>2.8622201411493902</v>
      </c>
      <c r="AK1709" s="208"/>
    </row>
    <row r="1710" spans="1:37" s="189" customFormat="1" ht="12" customHeight="1" x14ac:dyDescent="0.2">
      <c r="A1710" s="204"/>
      <c r="B1710" s="205"/>
      <c r="C1710" s="201" t="s">
        <v>349</v>
      </c>
      <c r="D1710" s="201"/>
      <c r="E1710" s="201"/>
      <c r="F1710" s="232"/>
      <c r="G1710" s="232"/>
      <c r="H1710" s="206" t="s">
        <v>331</v>
      </c>
      <c r="I1710" s="206" t="s">
        <v>506</v>
      </c>
      <c r="J1710" s="206" t="s">
        <v>84</v>
      </c>
      <c r="K1710" s="206" t="s">
        <v>507</v>
      </c>
      <c r="L1710" s="207"/>
      <c r="M1710" s="206"/>
      <c r="N1710" s="207"/>
      <c r="O1710" s="206"/>
      <c r="P1710" s="248"/>
      <c r="V1710" s="190"/>
      <c r="W1710" s="191"/>
      <c r="Z1710" s="203" t="s">
        <v>349</v>
      </c>
      <c r="AB1710" s="191"/>
      <c r="AD1710" s="191"/>
      <c r="AF1710" s="191"/>
      <c r="AJ1710" s="189">
        <v>2.8622201411493902</v>
      </c>
      <c r="AK1710" s="208"/>
    </row>
    <row r="1711" spans="1:37" s="189" customFormat="1" ht="12" customHeight="1" x14ac:dyDescent="0.2">
      <c r="A1711" s="204"/>
      <c r="B1711" s="205"/>
      <c r="C1711" s="209" t="s">
        <v>334</v>
      </c>
      <c r="D1711" s="209"/>
      <c r="E1711" s="209"/>
      <c r="H1711" s="210"/>
      <c r="I1711" s="210"/>
      <c r="J1711" s="210"/>
      <c r="K1711" s="210"/>
      <c r="L1711" s="211">
        <v>11.03</v>
      </c>
      <c r="M1711" s="210"/>
      <c r="N1711" s="211">
        <v>7.43</v>
      </c>
      <c r="O1711" s="210"/>
      <c r="P1711" s="197"/>
      <c r="V1711" s="190"/>
      <c r="W1711" s="191"/>
      <c r="AA1711" s="203" t="s">
        <v>334</v>
      </c>
      <c r="AB1711" s="191"/>
      <c r="AD1711" s="191"/>
      <c r="AF1711" s="191"/>
      <c r="AJ1711" s="189">
        <v>2.8622201411493902</v>
      </c>
      <c r="AK1711" s="212"/>
    </row>
    <row r="1712" spans="1:37" s="189" customFormat="1" ht="12" customHeight="1" x14ac:dyDescent="0.2">
      <c r="A1712" s="204"/>
      <c r="B1712" s="205"/>
      <c r="C1712" s="201" t="s">
        <v>57</v>
      </c>
      <c r="D1712" s="201"/>
      <c r="E1712" s="201"/>
      <c r="H1712" s="206"/>
      <c r="I1712" s="206"/>
      <c r="J1712" s="206"/>
      <c r="K1712" s="206"/>
      <c r="L1712" s="207"/>
      <c r="M1712" s="206"/>
      <c r="N1712" s="207">
        <v>4.07</v>
      </c>
      <c r="O1712" s="206"/>
      <c r="P1712" s="248">
        <f>AJ1712*AK1712</f>
        <v>423.60858089010975</v>
      </c>
      <c r="V1712" s="190"/>
      <c r="W1712" s="191"/>
      <c r="Z1712" s="203" t="s">
        <v>57</v>
      </c>
      <c r="AB1712" s="191"/>
      <c r="AD1712" s="191"/>
      <c r="AF1712" s="191"/>
      <c r="AJ1712" s="189">
        <v>2.8622201411493902</v>
      </c>
      <c r="AK1712" s="208">
        <v>148</v>
      </c>
    </row>
    <row r="1713" spans="1:37" s="189" customFormat="1" ht="12" customHeight="1" x14ac:dyDescent="0.2">
      <c r="A1713" s="204"/>
      <c r="B1713" s="205" t="s">
        <v>496</v>
      </c>
      <c r="C1713" s="201" t="s">
        <v>188</v>
      </c>
      <c r="D1713" s="201"/>
      <c r="E1713" s="201"/>
      <c r="H1713" s="206" t="s">
        <v>60</v>
      </c>
      <c r="I1713" s="206" t="s">
        <v>497</v>
      </c>
      <c r="J1713" s="206" t="s">
        <v>410</v>
      </c>
      <c r="K1713" s="206" t="s">
        <v>498</v>
      </c>
      <c r="L1713" s="207"/>
      <c r="M1713" s="206"/>
      <c r="N1713" s="207">
        <v>4.0999999999999996</v>
      </c>
      <c r="O1713" s="206"/>
      <c r="P1713" s="248">
        <f>AJ1713*AK1713</f>
        <v>426.47080103125916</v>
      </c>
      <c r="V1713" s="190"/>
      <c r="W1713" s="191"/>
      <c r="Z1713" s="203" t="s">
        <v>188</v>
      </c>
      <c r="AB1713" s="191"/>
      <c r="AD1713" s="191"/>
      <c r="AF1713" s="191"/>
      <c r="AJ1713" s="189">
        <v>2.8622201411493902</v>
      </c>
      <c r="AK1713" s="208">
        <v>149</v>
      </c>
    </row>
    <row r="1714" spans="1:37" s="189" customFormat="1" ht="12" customHeight="1" x14ac:dyDescent="0.2">
      <c r="A1714" s="204"/>
      <c r="B1714" s="205" t="s">
        <v>499</v>
      </c>
      <c r="C1714" s="201" t="s">
        <v>190</v>
      </c>
      <c r="D1714" s="201"/>
      <c r="E1714" s="201"/>
      <c r="F1714" s="232"/>
      <c r="G1714" s="232"/>
      <c r="H1714" s="206" t="s">
        <v>60</v>
      </c>
      <c r="I1714" s="206" t="s">
        <v>311</v>
      </c>
      <c r="J1714" s="206" t="s">
        <v>412</v>
      </c>
      <c r="K1714" s="206" t="s">
        <v>500</v>
      </c>
      <c r="L1714" s="207"/>
      <c r="M1714" s="206"/>
      <c r="N1714" s="207">
        <v>2.25</v>
      </c>
      <c r="O1714" s="206"/>
      <c r="P1714" s="248">
        <f>AJ1714*AK1714</f>
        <v>234.70205157424999</v>
      </c>
      <c r="V1714" s="190"/>
      <c r="W1714" s="191"/>
      <c r="Z1714" s="203" t="s">
        <v>190</v>
      </c>
      <c r="AB1714" s="191"/>
      <c r="AD1714" s="191"/>
      <c r="AF1714" s="191"/>
      <c r="AJ1714" s="189">
        <v>2.8622201411493902</v>
      </c>
      <c r="AK1714" s="208">
        <v>82</v>
      </c>
    </row>
    <row r="1715" spans="1:37" s="189" customFormat="1" ht="12" customHeight="1" x14ac:dyDescent="0.2">
      <c r="A1715" s="213"/>
      <c r="B1715" s="214"/>
      <c r="C1715" s="194" t="s">
        <v>63</v>
      </c>
      <c r="D1715" s="194"/>
      <c r="E1715" s="194"/>
      <c r="F1715" s="232"/>
      <c r="G1715" s="232"/>
      <c r="H1715" s="195"/>
      <c r="I1715" s="195"/>
      <c r="J1715" s="195"/>
      <c r="K1715" s="195"/>
      <c r="L1715" s="196"/>
      <c r="M1715" s="195"/>
      <c r="N1715" s="196">
        <v>13.78</v>
      </c>
      <c r="O1715" s="210"/>
      <c r="P1715" s="197">
        <f>AJ1715*AK1715</f>
        <v>1067.6081126487225</v>
      </c>
      <c r="V1715" s="190"/>
      <c r="W1715" s="191"/>
      <c r="AB1715" s="191" t="s">
        <v>63</v>
      </c>
      <c r="AD1715" s="191"/>
      <c r="AF1715" s="191"/>
      <c r="AJ1715" s="189">
        <v>2.8622201411493902</v>
      </c>
      <c r="AK1715" s="198">
        <v>373</v>
      </c>
    </row>
    <row r="1716" spans="1:37" s="189" customFormat="1" ht="12" customHeight="1" x14ac:dyDescent="0.2">
      <c r="A1716" s="192">
        <v>418</v>
      </c>
      <c r="B1716" s="193" t="s">
        <v>508</v>
      </c>
      <c r="C1716" s="194" t="s">
        <v>509</v>
      </c>
      <c r="D1716" s="194"/>
      <c r="E1716" s="194"/>
      <c r="H1716" s="195" t="s">
        <v>170</v>
      </c>
      <c r="I1716" s="195"/>
      <c r="J1716" s="195"/>
      <c r="K1716" s="195">
        <f>1.84*0.1</f>
        <v>0.18400000000000002</v>
      </c>
      <c r="L1716" s="196">
        <v>799.15</v>
      </c>
      <c r="M1716" s="195"/>
      <c r="N1716" s="196">
        <v>364.04</v>
      </c>
      <c r="O1716" s="195" t="s">
        <v>403</v>
      </c>
      <c r="P1716" s="197">
        <f>AJ1716*AK1716</f>
        <v>6460.0308585741732</v>
      </c>
      <c r="V1716" s="190"/>
      <c r="W1716" s="191" t="s">
        <v>509</v>
      </c>
      <c r="AB1716" s="191"/>
      <c r="AD1716" s="191"/>
      <c r="AF1716" s="191"/>
      <c r="AJ1716" s="189">
        <v>2.8622201411493902</v>
      </c>
      <c r="AK1716" s="198">
        <v>2257</v>
      </c>
    </row>
    <row r="1717" spans="1:37" s="189" customFormat="1" ht="12" customHeight="1" x14ac:dyDescent="0.2">
      <c r="A1717" s="199"/>
      <c r="B1717" s="200"/>
      <c r="C1717" s="243" t="s">
        <v>510</v>
      </c>
      <c r="D1717" s="243"/>
      <c r="E1717" s="243"/>
      <c r="F1717" s="243"/>
      <c r="G1717" s="243"/>
      <c r="H1717" s="243"/>
      <c r="I1717" s="243"/>
      <c r="J1717" s="243"/>
      <c r="K1717" s="243"/>
      <c r="L1717" s="243"/>
      <c r="M1717" s="243"/>
      <c r="N1717" s="243"/>
      <c r="P1717" s="288"/>
      <c r="V1717" s="190"/>
      <c r="W1717" s="191"/>
      <c r="X1717" s="203" t="s">
        <v>511</v>
      </c>
      <c r="AB1717" s="191"/>
      <c r="AD1717" s="191"/>
      <c r="AF1717" s="191"/>
      <c r="AJ1717" s="189">
        <v>2.8622201411493902</v>
      </c>
    </row>
    <row r="1718" spans="1:37" s="189" customFormat="1" ht="12" customHeight="1" x14ac:dyDescent="0.2">
      <c r="A1718" s="192">
        <v>419</v>
      </c>
      <c r="B1718" s="193" t="s">
        <v>512</v>
      </c>
      <c r="C1718" s="244" t="s">
        <v>513</v>
      </c>
      <c r="D1718" s="244"/>
      <c r="E1718" s="244"/>
      <c r="H1718" s="221" t="s">
        <v>55</v>
      </c>
      <c r="I1718" s="221"/>
      <c r="J1718" s="221"/>
      <c r="K1718" s="221">
        <v>0.184</v>
      </c>
      <c r="L1718" s="245"/>
      <c r="M1718" s="221"/>
      <c r="N1718" s="245"/>
      <c r="O1718" s="195"/>
      <c r="P1718" s="197"/>
      <c r="V1718" s="190"/>
      <c r="W1718" s="191" t="s">
        <v>513</v>
      </c>
      <c r="AB1718" s="191"/>
      <c r="AD1718" s="191"/>
      <c r="AF1718" s="191"/>
      <c r="AJ1718" s="189">
        <v>2.8622201411493902</v>
      </c>
      <c r="AK1718" s="198"/>
    </row>
    <row r="1719" spans="1:37" s="189" customFormat="1" ht="12" customHeight="1" x14ac:dyDescent="0.2">
      <c r="A1719" s="204"/>
      <c r="B1719" s="205" t="s">
        <v>52</v>
      </c>
      <c r="C1719" s="201" t="s">
        <v>328</v>
      </c>
      <c r="D1719" s="201"/>
      <c r="E1719" s="201"/>
      <c r="H1719" s="206"/>
      <c r="I1719" s="206"/>
      <c r="J1719" s="206"/>
      <c r="K1719" s="206"/>
      <c r="L1719" s="207">
        <v>935.48</v>
      </c>
      <c r="M1719" s="206"/>
      <c r="N1719" s="207">
        <v>51.45</v>
      </c>
      <c r="O1719" s="206" t="s">
        <v>329</v>
      </c>
      <c r="P1719" s="248">
        <f>AJ1719*AK1719</f>
        <v>5358.0761042316581</v>
      </c>
      <c r="V1719" s="190"/>
      <c r="W1719" s="191"/>
      <c r="Y1719" s="203" t="s">
        <v>328</v>
      </c>
      <c r="AB1719" s="191"/>
      <c r="AD1719" s="191"/>
      <c r="AF1719" s="191"/>
      <c r="AJ1719" s="189">
        <v>2.8622201411493902</v>
      </c>
      <c r="AK1719" s="208">
        <v>1872</v>
      </c>
    </row>
    <row r="1720" spans="1:37" s="189" customFormat="1" ht="12" customHeight="1" x14ac:dyDescent="0.2">
      <c r="A1720" s="204"/>
      <c r="B1720" s="205" t="s">
        <v>64</v>
      </c>
      <c r="C1720" s="201" t="s">
        <v>344</v>
      </c>
      <c r="D1720" s="201"/>
      <c r="E1720" s="201"/>
      <c r="H1720" s="206"/>
      <c r="I1720" s="206"/>
      <c r="J1720" s="206"/>
      <c r="K1720" s="206"/>
      <c r="L1720" s="207">
        <v>144.06</v>
      </c>
      <c r="M1720" s="206"/>
      <c r="N1720" s="207">
        <v>7.92</v>
      </c>
      <c r="O1720" s="206" t="s">
        <v>345</v>
      </c>
      <c r="P1720" s="248">
        <f>AJ1720*AK1720</f>
        <v>246.15093213884757</v>
      </c>
      <c r="V1720" s="190"/>
      <c r="W1720" s="191"/>
      <c r="Y1720" s="203" t="s">
        <v>344</v>
      </c>
      <c r="AB1720" s="191"/>
      <c r="AD1720" s="191"/>
      <c r="AF1720" s="191"/>
      <c r="AJ1720" s="189">
        <v>2.8622201411493902</v>
      </c>
      <c r="AK1720" s="208">
        <v>86</v>
      </c>
    </row>
    <row r="1721" spans="1:37" s="189" customFormat="1" ht="12" customHeight="1" x14ac:dyDescent="0.2">
      <c r="A1721" s="204"/>
      <c r="B1721" s="205" t="s">
        <v>68</v>
      </c>
      <c r="C1721" s="201" t="s">
        <v>346</v>
      </c>
      <c r="D1721" s="201"/>
      <c r="E1721" s="201"/>
      <c r="H1721" s="206"/>
      <c r="I1721" s="206"/>
      <c r="J1721" s="206"/>
      <c r="K1721" s="206"/>
      <c r="L1721" s="207">
        <v>47.01</v>
      </c>
      <c r="M1721" s="206"/>
      <c r="N1721" s="207">
        <v>2.59</v>
      </c>
      <c r="O1721" s="206" t="s">
        <v>329</v>
      </c>
      <c r="P1721" s="248">
        <f>AJ1721*AK1721</f>
        <v>269.04869326804265</v>
      </c>
      <c r="V1721" s="190"/>
      <c r="W1721" s="191"/>
      <c r="Y1721" s="203" t="s">
        <v>346</v>
      </c>
      <c r="AB1721" s="191"/>
      <c r="AD1721" s="191"/>
      <c r="AF1721" s="191"/>
      <c r="AJ1721" s="189">
        <v>2.8622201411493902</v>
      </c>
      <c r="AK1721" s="208">
        <v>94</v>
      </c>
    </row>
    <row r="1722" spans="1:37" s="189" customFormat="1" ht="12" customHeight="1" x14ac:dyDescent="0.2">
      <c r="A1722" s="204"/>
      <c r="B1722" s="205" t="s">
        <v>72</v>
      </c>
      <c r="C1722" s="201" t="s">
        <v>402</v>
      </c>
      <c r="D1722" s="201"/>
      <c r="E1722" s="201"/>
      <c r="H1722" s="206"/>
      <c r="I1722" s="206"/>
      <c r="J1722" s="206"/>
      <c r="K1722" s="206"/>
      <c r="L1722" s="207">
        <v>9698.64</v>
      </c>
      <c r="M1722" s="206"/>
      <c r="N1722" s="207">
        <v>533.42999999999995</v>
      </c>
      <c r="O1722" s="206" t="s">
        <v>403</v>
      </c>
      <c r="P1722" s="248">
        <f>AJ1722*AK1722</f>
        <v>9465.3620067810334</v>
      </c>
      <c r="V1722" s="190"/>
      <c r="W1722" s="191"/>
      <c r="Y1722" s="203" t="s">
        <v>402</v>
      </c>
      <c r="AB1722" s="191"/>
      <c r="AD1722" s="191"/>
      <c r="AF1722" s="191"/>
      <c r="AJ1722" s="189">
        <v>2.8622201411493902</v>
      </c>
      <c r="AK1722" s="208">
        <v>3307</v>
      </c>
    </row>
    <row r="1723" spans="1:37" s="189" customFormat="1" ht="12" customHeight="1" x14ac:dyDescent="0.2">
      <c r="A1723" s="204"/>
      <c r="B1723" s="205"/>
      <c r="C1723" s="201" t="s">
        <v>330</v>
      </c>
      <c r="D1723" s="201"/>
      <c r="E1723" s="201"/>
      <c r="H1723" s="206" t="s">
        <v>331</v>
      </c>
      <c r="I1723" s="206" t="s">
        <v>514</v>
      </c>
      <c r="J1723" s="206"/>
      <c r="K1723" s="206" t="s">
        <v>515</v>
      </c>
      <c r="L1723" s="207"/>
      <c r="M1723" s="206"/>
      <c r="N1723" s="207"/>
      <c r="O1723" s="206"/>
      <c r="P1723" s="248"/>
      <c r="V1723" s="190"/>
      <c r="W1723" s="191"/>
      <c r="Z1723" s="203" t="s">
        <v>330</v>
      </c>
      <c r="AB1723" s="191"/>
      <c r="AD1723" s="191"/>
      <c r="AF1723" s="191"/>
      <c r="AJ1723" s="189">
        <v>2.8622201411493902</v>
      </c>
      <c r="AK1723" s="208"/>
    </row>
    <row r="1724" spans="1:37" s="189" customFormat="1" ht="12" customHeight="1" x14ac:dyDescent="0.2">
      <c r="A1724" s="204"/>
      <c r="B1724" s="205"/>
      <c r="C1724" s="201" t="s">
        <v>349</v>
      </c>
      <c r="D1724" s="201"/>
      <c r="E1724" s="201"/>
      <c r="F1724" s="232"/>
      <c r="G1724" s="232"/>
      <c r="H1724" s="206" t="s">
        <v>331</v>
      </c>
      <c r="I1724" s="206" t="s">
        <v>516</v>
      </c>
      <c r="J1724" s="206"/>
      <c r="K1724" s="206" t="s">
        <v>517</v>
      </c>
      <c r="L1724" s="207"/>
      <c r="M1724" s="206"/>
      <c r="N1724" s="207"/>
      <c r="O1724" s="206"/>
      <c r="P1724" s="248"/>
      <c r="V1724" s="190"/>
      <c r="W1724" s="191"/>
      <c r="Z1724" s="203" t="s">
        <v>349</v>
      </c>
      <c r="AB1724" s="191"/>
      <c r="AD1724" s="191"/>
      <c r="AF1724" s="191"/>
      <c r="AJ1724" s="189">
        <v>2.8622201411493902</v>
      </c>
      <c r="AK1724" s="208"/>
    </row>
    <row r="1725" spans="1:37" s="189" customFormat="1" ht="12" customHeight="1" x14ac:dyDescent="0.2">
      <c r="A1725" s="204"/>
      <c r="B1725" s="205"/>
      <c r="C1725" s="209" t="s">
        <v>334</v>
      </c>
      <c r="D1725" s="209"/>
      <c r="E1725" s="209"/>
      <c r="H1725" s="210"/>
      <c r="I1725" s="210"/>
      <c r="J1725" s="210"/>
      <c r="K1725" s="210"/>
      <c r="L1725" s="211">
        <v>10778.18</v>
      </c>
      <c r="M1725" s="210"/>
      <c r="N1725" s="211">
        <v>592.79999999999995</v>
      </c>
      <c r="O1725" s="210"/>
      <c r="P1725" s="197"/>
      <c r="V1725" s="190"/>
      <c r="W1725" s="191"/>
      <c r="AA1725" s="203" t="s">
        <v>334</v>
      </c>
      <c r="AB1725" s="191"/>
      <c r="AD1725" s="191"/>
      <c r="AF1725" s="191"/>
      <c r="AJ1725" s="189">
        <v>2.8622201411493902</v>
      </c>
      <c r="AK1725" s="212"/>
    </row>
    <row r="1726" spans="1:37" s="189" customFormat="1" ht="12" customHeight="1" x14ac:dyDescent="0.2">
      <c r="A1726" s="204"/>
      <c r="B1726" s="205"/>
      <c r="C1726" s="201" t="s">
        <v>57</v>
      </c>
      <c r="D1726" s="201"/>
      <c r="E1726" s="201"/>
      <c r="H1726" s="206"/>
      <c r="I1726" s="206"/>
      <c r="J1726" s="206"/>
      <c r="K1726" s="206"/>
      <c r="L1726" s="207"/>
      <c r="M1726" s="206"/>
      <c r="N1726" s="207">
        <v>54.04</v>
      </c>
      <c r="O1726" s="206"/>
      <c r="P1726" s="248">
        <f>AJ1726*AK1726</f>
        <v>5627.1247974997013</v>
      </c>
      <c r="V1726" s="190"/>
      <c r="W1726" s="191"/>
      <c r="Z1726" s="203" t="s">
        <v>57</v>
      </c>
      <c r="AB1726" s="191"/>
      <c r="AD1726" s="191"/>
      <c r="AF1726" s="191"/>
      <c r="AJ1726" s="189">
        <v>2.8622201411493902</v>
      </c>
      <c r="AK1726" s="208">
        <v>1966</v>
      </c>
    </row>
    <row r="1727" spans="1:37" s="189" customFormat="1" ht="12" customHeight="1" x14ac:dyDescent="0.2">
      <c r="A1727" s="204"/>
      <c r="B1727" s="205" t="s">
        <v>496</v>
      </c>
      <c r="C1727" s="201" t="s">
        <v>188</v>
      </c>
      <c r="D1727" s="201"/>
      <c r="E1727" s="201"/>
      <c r="H1727" s="206" t="s">
        <v>60</v>
      </c>
      <c r="I1727" s="206" t="s">
        <v>497</v>
      </c>
      <c r="J1727" s="206" t="s">
        <v>410</v>
      </c>
      <c r="K1727" s="206" t="s">
        <v>498</v>
      </c>
      <c r="L1727" s="207"/>
      <c r="M1727" s="206"/>
      <c r="N1727" s="207">
        <v>54.47</v>
      </c>
      <c r="O1727" s="206"/>
      <c r="P1727" s="248">
        <f>AJ1727*AK1727</f>
        <v>5672.920319758091</v>
      </c>
      <c r="V1727" s="190"/>
      <c r="W1727" s="191"/>
      <c r="Z1727" s="203" t="s">
        <v>188</v>
      </c>
      <c r="AB1727" s="191"/>
      <c r="AD1727" s="191"/>
      <c r="AF1727" s="191"/>
      <c r="AJ1727" s="189">
        <v>2.8622201411493902</v>
      </c>
      <c r="AK1727" s="208">
        <v>1982</v>
      </c>
    </row>
    <row r="1728" spans="1:37" s="189" customFormat="1" ht="12" customHeight="1" x14ac:dyDescent="0.2">
      <c r="A1728" s="204"/>
      <c r="B1728" s="205" t="s">
        <v>499</v>
      </c>
      <c r="C1728" s="201" t="s">
        <v>190</v>
      </c>
      <c r="D1728" s="201"/>
      <c r="E1728" s="201"/>
      <c r="F1728" s="232"/>
      <c r="G1728" s="232"/>
      <c r="H1728" s="206" t="s">
        <v>60</v>
      </c>
      <c r="I1728" s="206" t="s">
        <v>311</v>
      </c>
      <c r="J1728" s="206" t="s">
        <v>412</v>
      </c>
      <c r="K1728" s="206" t="s">
        <v>500</v>
      </c>
      <c r="L1728" s="207"/>
      <c r="M1728" s="206"/>
      <c r="N1728" s="207">
        <v>29.86</v>
      </c>
      <c r="O1728" s="206"/>
      <c r="P1728" s="248">
        <f>AJ1728*AK1728</f>
        <v>3108.3710732882378</v>
      </c>
      <c r="V1728" s="190"/>
      <c r="W1728" s="191"/>
      <c r="Z1728" s="203" t="s">
        <v>190</v>
      </c>
      <c r="AB1728" s="191"/>
      <c r="AD1728" s="191"/>
      <c r="AF1728" s="191"/>
      <c r="AJ1728" s="189">
        <v>2.8622201411493902</v>
      </c>
      <c r="AK1728" s="208">
        <v>1086</v>
      </c>
    </row>
    <row r="1729" spans="1:37" s="189" customFormat="1" ht="12" customHeight="1" x14ac:dyDescent="0.2">
      <c r="A1729" s="213"/>
      <c r="B1729" s="214"/>
      <c r="C1729" s="194" t="s">
        <v>63</v>
      </c>
      <c r="D1729" s="194"/>
      <c r="E1729" s="194"/>
      <c r="H1729" s="195"/>
      <c r="I1729" s="195"/>
      <c r="J1729" s="195"/>
      <c r="K1729" s="195"/>
      <c r="L1729" s="196"/>
      <c r="M1729" s="195"/>
      <c r="N1729" s="196">
        <v>677.13</v>
      </c>
      <c r="O1729" s="210"/>
      <c r="P1729" s="215">
        <f>AJ1729*AK1729</f>
        <v>23850.880436197869</v>
      </c>
      <c r="V1729" s="190"/>
      <c r="W1729" s="191"/>
      <c r="AB1729" s="191" t="s">
        <v>63</v>
      </c>
      <c r="AD1729" s="191"/>
      <c r="AF1729" s="191"/>
      <c r="AJ1729" s="189">
        <v>2.8622201411493902</v>
      </c>
      <c r="AK1729" s="198">
        <v>8333</v>
      </c>
    </row>
    <row r="1730" spans="1:37" s="189" customFormat="1" ht="12" customHeight="1" x14ac:dyDescent="0.2">
      <c r="A1730" s="218" t="s">
        <v>518</v>
      </c>
      <c r="B1730" s="219"/>
      <c r="C1730" s="219"/>
      <c r="D1730" s="219"/>
      <c r="E1730" s="219"/>
      <c r="F1730" s="219"/>
      <c r="G1730" s="219"/>
      <c r="H1730" s="219"/>
      <c r="I1730" s="219"/>
      <c r="J1730" s="219"/>
      <c r="K1730" s="219"/>
      <c r="L1730" s="219"/>
      <c r="M1730" s="219"/>
      <c r="N1730" s="219"/>
      <c r="O1730" s="234"/>
      <c r="P1730" s="288"/>
      <c r="V1730" s="190"/>
      <c r="W1730" s="191"/>
      <c r="AB1730" s="191"/>
      <c r="AD1730" s="191" t="s">
        <v>518</v>
      </c>
      <c r="AF1730" s="191"/>
      <c r="AJ1730" s="189">
        <v>2.8622201411493902</v>
      </c>
    </row>
    <row r="1731" spans="1:37" s="189" customFormat="1" ht="12" customHeight="1" x14ac:dyDescent="0.2">
      <c r="A1731" s="192">
        <v>420</v>
      </c>
      <c r="B1731" s="193" t="s">
        <v>519</v>
      </c>
      <c r="C1731" s="194" t="s">
        <v>520</v>
      </c>
      <c r="D1731" s="194"/>
      <c r="E1731" s="194"/>
      <c r="H1731" s="195" t="s">
        <v>75</v>
      </c>
      <c r="I1731" s="195"/>
      <c r="J1731" s="195"/>
      <c r="K1731" s="195">
        <v>0.02</v>
      </c>
      <c r="L1731" s="196"/>
      <c r="M1731" s="195"/>
      <c r="N1731" s="196"/>
      <c r="O1731" s="195"/>
      <c r="P1731" s="197"/>
      <c r="V1731" s="190"/>
      <c r="W1731" s="191" t="s">
        <v>520</v>
      </c>
      <c r="AB1731" s="191"/>
      <c r="AD1731" s="191"/>
      <c r="AF1731" s="191"/>
      <c r="AJ1731" s="189">
        <v>2.8622201411493902</v>
      </c>
      <c r="AK1731" s="198"/>
    </row>
    <row r="1732" spans="1:37" s="189" customFormat="1" ht="12" customHeight="1" x14ac:dyDescent="0.2">
      <c r="A1732" s="199"/>
      <c r="B1732" s="200"/>
      <c r="C1732" s="201" t="s">
        <v>387</v>
      </c>
      <c r="D1732" s="201"/>
      <c r="E1732" s="201"/>
      <c r="F1732" s="201"/>
      <c r="G1732" s="201"/>
      <c r="H1732" s="201"/>
      <c r="I1732" s="201"/>
      <c r="J1732" s="201"/>
      <c r="K1732" s="201"/>
      <c r="L1732" s="201"/>
      <c r="M1732" s="201"/>
      <c r="N1732" s="201"/>
      <c r="P1732" s="288"/>
      <c r="V1732" s="190"/>
      <c r="W1732" s="191"/>
      <c r="X1732" s="203" t="s">
        <v>387</v>
      </c>
      <c r="AB1732" s="191"/>
      <c r="AD1732" s="191"/>
      <c r="AF1732" s="191"/>
      <c r="AJ1732" s="189">
        <v>2.8622201411493902</v>
      </c>
    </row>
    <row r="1733" spans="1:37" s="189" customFormat="1" ht="12" customHeight="1" x14ac:dyDescent="0.2">
      <c r="A1733" s="204"/>
      <c r="B1733" s="205" t="s">
        <v>52</v>
      </c>
      <c r="C1733" s="201" t="s">
        <v>328</v>
      </c>
      <c r="D1733" s="201"/>
      <c r="E1733" s="201"/>
      <c r="H1733" s="206"/>
      <c r="I1733" s="206"/>
      <c r="J1733" s="206"/>
      <c r="K1733" s="206"/>
      <c r="L1733" s="207">
        <v>807.12</v>
      </c>
      <c r="M1733" s="206"/>
      <c r="N1733" s="207">
        <v>16.14</v>
      </c>
      <c r="O1733" s="206" t="s">
        <v>329</v>
      </c>
      <c r="P1733" s="248">
        <f>AJ1733*AK1733</f>
        <v>1680.1232228546921</v>
      </c>
      <c r="V1733" s="190"/>
      <c r="W1733" s="191"/>
      <c r="Y1733" s="203" t="s">
        <v>328</v>
      </c>
      <c r="AB1733" s="191"/>
      <c r="AD1733" s="191"/>
      <c r="AF1733" s="191"/>
      <c r="AJ1733" s="189">
        <v>2.8622201411493902</v>
      </c>
      <c r="AK1733" s="208">
        <v>587</v>
      </c>
    </row>
    <row r="1734" spans="1:37" s="189" customFormat="1" ht="12" customHeight="1" x14ac:dyDescent="0.2">
      <c r="A1734" s="204"/>
      <c r="B1734" s="205" t="s">
        <v>64</v>
      </c>
      <c r="C1734" s="201" t="s">
        <v>344</v>
      </c>
      <c r="D1734" s="201"/>
      <c r="E1734" s="201"/>
      <c r="H1734" s="206"/>
      <c r="I1734" s="206"/>
      <c r="J1734" s="206"/>
      <c r="K1734" s="206"/>
      <c r="L1734" s="207">
        <v>74.72</v>
      </c>
      <c r="M1734" s="206"/>
      <c r="N1734" s="207">
        <v>1.49</v>
      </c>
      <c r="O1734" s="206" t="s">
        <v>345</v>
      </c>
      <c r="P1734" s="248">
        <f>AJ1734*AK1734</f>
        <v>45.795522258390243</v>
      </c>
      <c r="V1734" s="190"/>
      <c r="W1734" s="191"/>
      <c r="Y1734" s="203" t="s">
        <v>344</v>
      </c>
      <c r="AB1734" s="191"/>
      <c r="AD1734" s="191"/>
      <c r="AF1734" s="191"/>
      <c r="AJ1734" s="189">
        <v>2.8622201411493902</v>
      </c>
      <c r="AK1734" s="208">
        <v>16</v>
      </c>
    </row>
    <row r="1735" spans="1:37" s="189" customFormat="1" ht="12" customHeight="1" x14ac:dyDescent="0.2">
      <c r="A1735" s="204"/>
      <c r="B1735" s="205" t="s">
        <v>68</v>
      </c>
      <c r="C1735" s="201" t="s">
        <v>346</v>
      </c>
      <c r="D1735" s="201"/>
      <c r="E1735" s="201"/>
      <c r="H1735" s="206"/>
      <c r="I1735" s="206"/>
      <c r="J1735" s="206"/>
      <c r="K1735" s="206"/>
      <c r="L1735" s="207">
        <v>4.4000000000000004</v>
      </c>
      <c r="M1735" s="206"/>
      <c r="N1735" s="207">
        <v>0.09</v>
      </c>
      <c r="O1735" s="206" t="s">
        <v>329</v>
      </c>
      <c r="P1735" s="248">
        <f>AJ1735*AK1735</f>
        <v>8.5866604234481709</v>
      </c>
      <c r="V1735" s="190"/>
      <c r="W1735" s="191"/>
      <c r="Y1735" s="203" t="s">
        <v>346</v>
      </c>
      <c r="AB1735" s="191"/>
      <c r="AD1735" s="191"/>
      <c r="AF1735" s="191"/>
      <c r="AJ1735" s="189">
        <v>2.8622201411493902</v>
      </c>
      <c r="AK1735" s="208">
        <v>3</v>
      </c>
    </row>
    <row r="1736" spans="1:37" s="189" customFormat="1" ht="12" customHeight="1" x14ac:dyDescent="0.2">
      <c r="A1736" s="204"/>
      <c r="B1736" s="205" t="s">
        <v>72</v>
      </c>
      <c r="C1736" s="201" t="s">
        <v>402</v>
      </c>
      <c r="D1736" s="201"/>
      <c r="E1736" s="201"/>
      <c r="H1736" s="206"/>
      <c r="I1736" s="206"/>
      <c r="J1736" s="206"/>
      <c r="K1736" s="206"/>
      <c r="L1736" s="207">
        <v>113.98</v>
      </c>
      <c r="M1736" s="206"/>
      <c r="N1736" s="207">
        <v>2.2799999999999998</v>
      </c>
      <c r="O1736" s="206" t="s">
        <v>403</v>
      </c>
      <c r="P1736" s="248">
        <f>AJ1736*AK1736</f>
        <v>40.071081976091463</v>
      </c>
      <c r="V1736" s="190"/>
      <c r="W1736" s="191"/>
      <c r="Y1736" s="203" t="s">
        <v>402</v>
      </c>
      <c r="AB1736" s="191"/>
      <c r="AD1736" s="191"/>
      <c r="AF1736" s="191"/>
      <c r="AJ1736" s="189">
        <v>2.8622201411493902</v>
      </c>
      <c r="AK1736" s="208">
        <v>14</v>
      </c>
    </row>
    <row r="1737" spans="1:37" s="189" customFormat="1" ht="12" customHeight="1" x14ac:dyDescent="0.2">
      <c r="A1737" s="204"/>
      <c r="B1737" s="205"/>
      <c r="C1737" s="201" t="s">
        <v>330</v>
      </c>
      <c r="D1737" s="201"/>
      <c r="E1737" s="201"/>
      <c r="H1737" s="206" t="s">
        <v>331</v>
      </c>
      <c r="I1737" s="206" t="s">
        <v>521</v>
      </c>
      <c r="J1737" s="206"/>
      <c r="K1737" s="206">
        <v>1.7123999999999999</v>
      </c>
      <c r="L1737" s="207"/>
      <c r="M1737" s="206"/>
      <c r="N1737" s="207"/>
      <c r="O1737" s="206"/>
      <c r="P1737" s="248"/>
      <c r="V1737" s="190"/>
      <c r="W1737" s="191"/>
      <c r="Z1737" s="203" t="s">
        <v>330</v>
      </c>
      <c r="AB1737" s="191"/>
      <c r="AD1737" s="191"/>
      <c r="AF1737" s="191"/>
      <c r="AJ1737" s="189">
        <v>2.8622201411493902</v>
      </c>
      <c r="AK1737" s="208"/>
    </row>
    <row r="1738" spans="1:37" s="189" customFormat="1" ht="12" customHeight="1" x14ac:dyDescent="0.2">
      <c r="A1738" s="204"/>
      <c r="B1738" s="205"/>
      <c r="C1738" s="201" t="s">
        <v>349</v>
      </c>
      <c r="D1738" s="201"/>
      <c r="E1738" s="201"/>
      <c r="F1738" s="232"/>
      <c r="G1738" s="232"/>
      <c r="H1738" s="206" t="s">
        <v>331</v>
      </c>
      <c r="I1738" s="206" t="s">
        <v>522</v>
      </c>
      <c r="J1738" s="206"/>
      <c r="K1738" s="206" t="s">
        <v>523</v>
      </c>
      <c r="L1738" s="207"/>
      <c r="M1738" s="206"/>
      <c r="N1738" s="207"/>
      <c r="O1738" s="206"/>
      <c r="P1738" s="248"/>
      <c r="V1738" s="190"/>
      <c r="W1738" s="191"/>
      <c r="Z1738" s="203" t="s">
        <v>349</v>
      </c>
      <c r="AB1738" s="191"/>
      <c r="AD1738" s="191"/>
      <c r="AF1738" s="191"/>
      <c r="AJ1738" s="189">
        <v>2.8622201411493902</v>
      </c>
      <c r="AK1738" s="208"/>
    </row>
    <row r="1739" spans="1:37" s="189" customFormat="1" ht="12" customHeight="1" x14ac:dyDescent="0.2">
      <c r="A1739" s="204"/>
      <c r="B1739" s="205"/>
      <c r="C1739" s="209" t="s">
        <v>334</v>
      </c>
      <c r="D1739" s="209"/>
      <c r="E1739" s="209"/>
      <c r="H1739" s="210"/>
      <c r="I1739" s="210"/>
      <c r="J1739" s="210"/>
      <c r="K1739" s="210"/>
      <c r="L1739" s="211">
        <v>995.82</v>
      </c>
      <c r="M1739" s="210"/>
      <c r="N1739" s="211">
        <v>19.91</v>
      </c>
      <c r="O1739" s="210"/>
      <c r="P1739" s="197"/>
      <c r="V1739" s="190"/>
      <c r="W1739" s="191"/>
      <c r="AA1739" s="203" t="s">
        <v>334</v>
      </c>
      <c r="AB1739" s="191"/>
      <c r="AD1739" s="191"/>
      <c r="AF1739" s="191"/>
      <c r="AJ1739" s="189">
        <v>2.8622201411493902</v>
      </c>
      <c r="AK1739" s="212"/>
    </row>
    <row r="1740" spans="1:37" s="189" customFormat="1" ht="12" customHeight="1" x14ac:dyDescent="0.2">
      <c r="A1740" s="204"/>
      <c r="B1740" s="205"/>
      <c r="C1740" s="201" t="s">
        <v>57</v>
      </c>
      <c r="D1740" s="201"/>
      <c r="E1740" s="201"/>
      <c r="H1740" s="206"/>
      <c r="I1740" s="206"/>
      <c r="J1740" s="206"/>
      <c r="K1740" s="206"/>
      <c r="L1740" s="207"/>
      <c r="M1740" s="206"/>
      <c r="N1740" s="207">
        <v>16.23</v>
      </c>
      <c r="O1740" s="206"/>
      <c r="P1740" s="248">
        <f>AJ1740*AK1740</f>
        <v>1688.7098832781403</v>
      </c>
      <c r="V1740" s="190"/>
      <c r="W1740" s="191"/>
      <c r="Z1740" s="203" t="s">
        <v>57</v>
      </c>
      <c r="AB1740" s="191"/>
      <c r="AD1740" s="191"/>
      <c r="AF1740" s="191"/>
      <c r="AJ1740" s="189">
        <v>2.8622201411493902</v>
      </c>
      <c r="AK1740" s="208">
        <v>590</v>
      </c>
    </row>
    <row r="1741" spans="1:37" s="189" customFormat="1" ht="12" customHeight="1" x14ac:dyDescent="0.2">
      <c r="A1741" s="204"/>
      <c r="B1741" s="205" t="s">
        <v>524</v>
      </c>
      <c r="C1741" s="201" t="s">
        <v>525</v>
      </c>
      <c r="D1741" s="201"/>
      <c r="E1741" s="201"/>
      <c r="H1741" s="206" t="s">
        <v>60</v>
      </c>
      <c r="I1741" s="206" t="s">
        <v>526</v>
      </c>
      <c r="J1741" s="206"/>
      <c r="K1741" s="206" t="s">
        <v>526</v>
      </c>
      <c r="L1741" s="207"/>
      <c r="M1741" s="206"/>
      <c r="N1741" s="207">
        <v>15.74</v>
      </c>
      <c r="O1741" s="206"/>
      <c r="P1741" s="248">
        <f>AJ1741*AK1741</f>
        <v>1637.1899207374511</v>
      </c>
      <c r="V1741" s="190"/>
      <c r="W1741" s="191"/>
      <c r="Z1741" s="203" t="s">
        <v>525</v>
      </c>
      <c r="AB1741" s="191"/>
      <c r="AD1741" s="191"/>
      <c r="AF1741" s="191"/>
      <c r="AJ1741" s="189">
        <v>2.8622201411493902</v>
      </c>
      <c r="AK1741" s="208">
        <v>572</v>
      </c>
    </row>
    <row r="1742" spans="1:37" s="189" customFormat="1" ht="12" customHeight="1" x14ac:dyDescent="0.2">
      <c r="A1742" s="204"/>
      <c r="B1742" s="205" t="s">
        <v>527</v>
      </c>
      <c r="C1742" s="201" t="s">
        <v>528</v>
      </c>
      <c r="D1742" s="201"/>
      <c r="E1742" s="201"/>
      <c r="F1742" s="232"/>
      <c r="G1742" s="232"/>
      <c r="H1742" s="206" t="s">
        <v>60</v>
      </c>
      <c r="I1742" s="206" t="s">
        <v>254</v>
      </c>
      <c r="J1742" s="206"/>
      <c r="K1742" s="206" t="s">
        <v>254</v>
      </c>
      <c r="L1742" s="207"/>
      <c r="M1742" s="206"/>
      <c r="N1742" s="207">
        <v>8.2799999999999994</v>
      </c>
      <c r="O1742" s="206"/>
      <c r="P1742" s="248">
        <f>AJ1742*AK1742</f>
        <v>861.52826248596648</v>
      </c>
      <c r="V1742" s="190"/>
      <c r="W1742" s="191"/>
      <c r="Z1742" s="203" t="s">
        <v>528</v>
      </c>
      <c r="AB1742" s="191"/>
      <c r="AD1742" s="191"/>
      <c r="AF1742" s="191"/>
      <c r="AJ1742" s="189">
        <v>2.8622201411493902</v>
      </c>
      <c r="AK1742" s="208">
        <v>301</v>
      </c>
    </row>
    <row r="1743" spans="1:37" s="189" customFormat="1" ht="12" customHeight="1" x14ac:dyDescent="0.2">
      <c r="A1743" s="213"/>
      <c r="B1743" s="214"/>
      <c r="C1743" s="194" t="s">
        <v>63</v>
      </c>
      <c r="D1743" s="194"/>
      <c r="E1743" s="194"/>
      <c r="F1743" s="232"/>
      <c r="G1743" s="232"/>
      <c r="H1743" s="195"/>
      <c r="I1743" s="195"/>
      <c r="J1743" s="195"/>
      <c r="K1743" s="195"/>
      <c r="L1743" s="196"/>
      <c r="M1743" s="195"/>
      <c r="N1743" s="196">
        <v>43.93</v>
      </c>
      <c r="O1743" s="210"/>
      <c r="P1743" s="197">
        <f>AJ1743*AK1743</f>
        <v>4264.7080103125918</v>
      </c>
      <c r="V1743" s="190"/>
      <c r="W1743" s="191"/>
      <c r="AB1743" s="191" t="s">
        <v>63</v>
      </c>
      <c r="AD1743" s="191"/>
      <c r="AF1743" s="191"/>
      <c r="AJ1743" s="189">
        <v>2.8622201411493902</v>
      </c>
      <c r="AK1743" s="198">
        <v>1490</v>
      </c>
    </row>
    <row r="1744" spans="1:37" s="189" customFormat="1" ht="12" customHeight="1" x14ac:dyDescent="0.2">
      <c r="A1744" s="192">
        <v>421</v>
      </c>
      <c r="B1744" s="193" t="s">
        <v>529</v>
      </c>
      <c r="C1744" s="194" t="s">
        <v>530</v>
      </c>
      <c r="D1744" s="194"/>
      <c r="E1744" s="194"/>
      <c r="H1744" s="195" t="s">
        <v>83</v>
      </c>
      <c r="I1744" s="195"/>
      <c r="J1744" s="195"/>
      <c r="K1744" s="195" t="s">
        <v>64</v>
      </c>
      <c r="L1744" s="196">
        <v>255.38</v>
      </c>
      <c r="M1744" s="195"/>
      <c r="N1744" s="196">
        <v>510.76</v>
      </c>
      <c r="O1744" s="195" t="s">
        <v>403</v>
      </c>
      <c r="P1744" s="197">
        <f>AJ1744*AK1744</f>
        <v>9064.6511870201193</v>
      </c>
      <c r="V1744" s="190"/>
      <c r="W1744" s="191" t="s">
        <v>530</v>
      </c>
      <c r="AB1744" s="191"/>
      <c r="AD1744" s="191"/>
      <c r="AF1744" s="191"/>
      <c r="AJ1744" s="189">
        <v>2.8622201411493902</v>
      </c>
      <c r="AK1744" s="198">
        <v>3167</v>
      </c>
    </row>
    <row r="1745" spans="1:37" s="189" customFormat="1" ht="12" customHeight="1" x14ac:dyDescent="0.2">
      <c r="A1745" s="199"/>
      <c r="B1745" s="200"/>
      <c r="C1745" s="243" t="s">
        <v>531</v>
      </c>
      <c r="D1745" s="243"/>
      <c r="E1745" s="243"/>
      <c r="F1745" s="243"/>
      <c r="G1745" s="243"/>
      <c r="H1745" s="243"/>
      <c r="I1745" s="243"/>
      <c r="J1745" s="243"/>
      <c r="K1745" s="243"/>
      <c r="L1745" s="243"/>
      <c r="M1745" s="243"/>
      <c r="N1745" s="243"/>
      <c r="P1745" s="288"/>
      <c r="V1745" s="190"/>
      <c r="W1745" s="191"/>
      <c r="AB1745" s="191"/>
      <c r="AD1745" s="191"/>
      <c r="AE1745" s="203" t="s">
        <v>531</v>
      </c>
      <c r="AF1745" s="191"/>
      <c r="AJ1745" s="189">
        <v>2.8622201411493902</v>
      </c>
    </row>
    <row r="1746" spans="1:37" s="189" customFormat="1" ht="12" customHeight="1" x14ac:dyDescent="0.2">
      <c r="A1746" s="192">
        <v>422</v>
      </c>
      <c r="B1746" s="193" t="s">
        <v>532</v>
      </c>
      <c r="C1746" s="244" t="s">
        <v>533</v>
      </c>
      <c r="D1746" s="244"/>
      <c r="E1746" s="244"/>
      <c r="H1746" s="221" t="s">
        <v>75</v>
      </c>
      <c r="I1746" s="221"/>
      <c r="J1746" s="221"/>
      <c r="K1746" s="221" t="s">
        <v>397</v>
      </c>
      <c r="L1746" s="245"/>
      <c r="M1746" s="221"/>
      <c r="N1746" s="245"/>
      <c r="O1746" s="195"/>
      <c r="P1746" s="197"/>
      <c r="V1746" s="190"/>
      <c r="W1746" s="191" t="s">
        <v>533</v>
      </c>
      <c r="AB1746" s="191"/>
      <c r="AD1746" s="191"/>
      <c r="AF1746" s="191"/>
      <c r="AJ1746" s="189">
        <v>2.8622201411493902</v>
      </c>
      <c r="AK1746" s="198"/>
    </row>
    <row r="1747" spans="1:37" s="189" customFormat="1" ht="12" customHeight="1" x14ac:dyDescent="0.2">
      <c r="A1747" s="199"/>
      <c r="B1747" s="200"/>
      <c r="C1747" s="201" t="s">
        <v>386</v>
      </c>
      <c r="D1747" s="201"/>
      <c r="E1747" s="201"/>
      <c r="F1747" s="201"/>
      <c r="G1747" s="201"/>
      <c r="H1747" s="201"/>
      <c r="I1747" s="201"/>
      <c r="J1747" s="201"/>
      <c r="K1747" s="201"/>
      <c r="L1747" s="201"/>
      <c r="M1747" s="201"/>
      <c r="N1747" s="201"/>
      <c r="P1747" s="288"/>
      <c r="V1747" s="190"/>
      <c r="W1747" s="191"/>
      <c r="X1747" s="203" t="s">
        <v>386</v>
      </c>
      <c r="AB1747" s="191"/>
      <c r="AD1747" s="191"/>
      <c r="AF1747" s="191"/>
      <c r="AJ1747" s="189">
        <v>2.8622201411493902</v>
      </c>
    </row>
    <row r="1748" spans="1:37" s="189" customFormat="1" ht="12" customHeight="1" x14ac:dyDescent="0.2">
      <c r="A1748" s="204"/>
      <c r="B1748" s="205" t="s">
        <v>52</v>
      </c>
      <c r="C1748" s="201" t="s">
        <v>328</v>
      </c>
      <c r="D1748" s="201"/>
      <c r="E1748" s="201"/>
      <c r="H1748" s="206"/>
      <c r="I1748" s="206"/>
      <c r="J1748" s="206"/>
      <c r="K1748" s="206"/>
      <c r="L1748" s="207">
        <v>227.98</v>
      </c>
      <c r="M1748" s="206"/>
      <c r="N1748" s="207">
        <v>2.2799999999999998</v>
      </c>
      <c r="O1748" s="206" t="s">
        <v>329</v>
      </c>
      <c r="P1748" s="248">
        <f>AJ1748*AK1748</f>
        <v>237.56427171539937</v>
      </c>
      <c r="V1748" s="190"/>
      <c r="W1748" s="191"/>
      <c r="Y1748" s="203" t="s">
        <v>328</v>
      </c>
      <c r="AB1748" s="191"/>
      <c r="AD1748" s="191"/>
      <c r="AF1748" s="191"/>
      <c r="AJ1748" s="189">
        <v>2.8622201411493902</v>
      </c>
      <c r="AK1748" s="208">
        <v>83</v>
      </c>
    </row>
    <row r="1749" spans="1:37" s="189" customFormat="1" ht="12" customHeight="1" x14ac:dyDescent="0.2">
      <c r="A1749" s="204"/>
      <c r="B1749" s="205" t="s">
        <v>64</v>
      </c>
      <c r="C1749" s="201" t="s">
        <v>344</v>
      </c>
      <c r="D1749" s="201"/>
      <c r="E1749" s="201"/>
      <c r="H1749" s="206"/>
      <c r="I1749" s="206"/>
      <c r="J1749" s="206"/>
      <c r="K1749" s="206"/>
      <c r="L1749" s="207">
        <v>5.12</v>
      </c>
      <c r="M1749" s="206"/>
      <c r="N1749" s="207">
        <v>0.05</v>
      </c>
      <c r="O1749" s="206" t="s">
        <v>345</v>
      </c>
      <c r="P1749" s="248">
        <f>AJ1749*AK1749</f>
        <v>2.8622201411493902</v>
      </c>
      <c r="V1749" s="190"/>
      <c r="W1749" s="191"/>
      <c r="Y1749" s="203" t="s">
        <v>344</v>
      </c>
      <c r="AB1749" s="191"/>
      <c r="AD1749" s="191"/>
      <c r="AF1749" s="191"/>
      <c r="AJ1749" s="189">
        <v>2.8622201411493902</v>
      </c>
      <c r="AK1749" s="208">
        <v>1</v>
      </c>
    </row>
    <row r="1750" spans="1:37" s="189" customFormat="1" ht="12" customHeight="1" x14ac:dyDescent="0.2">
      <c r="A1750" s="204"/>
      <c r="B1750" s="205" t="s">
        <v>68</v>
      </c>
      <c r="C1750" s="201" t="s">
        <v>346</v>
      </c>
      <c r="D1750" s="201"/>
      <c r="E1750" s="201"/>
      <c r="H1750" s="206"/>
      <c r="I1750" s="206"/>
      <c r="J1750" s="206"/>
      <c r="K1750" s="206"/>
      <c r="L1750" s="207">
        <v>0.56000000000000005</v>
      </c>
      <c r="M1750" s="206"/>
      <c r="N1750" s="207">
        <v>0.01</v>
      </c>
      <c r="O1750" s="206" t="s">
        <v>329</v>
      </c>
      <c r="P1750" s="248"/>
      <c r="V1750" s="190"/>
      <c r="W1750" s="191"/>
      <c r="Y1750" s="203" t="s">
        <v>346</v>
      </c>
      <c r="AB1750" s="191"/>
      <c r="AD1750" s="191"/>
      <c r="AF1750" s="191"/>
      <c r="AJ1750" s="189">
        <v>2.8622201411493902</v>
      </c>
      <c r="AK1750" s="208"/>
    </row>
    <row r="1751" spans="1:37" s="189" customFormat="1" ht="12" customHeight="1" x14ac:dyDescent="0.2">
      <c r="A1751" s="204"/>
      <c r="B1751" s="205" t="s">
        <v>72</v>
      </c>
      <c r="C1751" s="201" t="s">
        <v>402</v>
      </c>
      <c r="D1751" s="201"/>
      <c r="E1751" s="201"/>
      <c r="H1751" s="206"/>
      <c r="I1751" s="206"/>
      <c r="J1751" s="206"/>
      <c r="K1751" s="206"/>
      <c r="L1751" s="207">
        <v>36.909999999999997</v>
      </c>
      <c r="M1751" s="206"/>
      <c r="N1751" s="207">
        <v>0.37</v>
      </c>
      <c r="O1751" s="206" t="s">
        <v>403</v>
      </c>
      <c r="P1751" s="248">
        <f>AJ1751*AK1751</f>
        <v>5.7244402822987803</v>
      </c>
      <c r="V1751" s="190"/>
      <c r="W1751" s="191"/>
      <c r="Y1751" s="203" t="s">
        <v>402</v>
      </c>
      <c r="AB1751" s="191"/>
      <c r="AD1751" s="191"/>
      <c r="AF1751" s="191"/>
      <c r="AJ1751" s="189">
        <v>2.8622201411493902</v>
      </c>
      <c r="AK1751" s="208">
        <v>2</v>
      </c>
    </row>
    <row r="1752" spans="1:37" s="189" customFormat="1" ht="12" customHeight="1" x14ac:dyDescent="0.2">
      <c r="A1752" s="204"/>
      <c r="B1752" s="205"/>
      <c r="C1752" s="201" t="s">
        <v>330</v>
      </c>
      <c r="D1752" s="201"/>
      <c r="E1752" s="201"/>
      <c r="H1752" s="206" t="s">
        <v>331</v>
      </c>
      <c r="I1752" s="206" t="s">
        <v>534</v>
      </c>
      <c r="J1752" s="206"/>
      <c r="K1752" s="206" t="s">
        <v>535</v>
      </c>
      <c r="L1752" s="207"/>
      <c r="M1752" s="206"/>
      <c r="N1752" s="207"/>
      <c r="O1752" s="206"/>
      <c r="P1752" s="248"/>
      <c r="V1752" s="190"/>
      <c r="W1752" s="191"/>
      <c r="Z1752" s="203" t="s">
        <v>330</v>
      </c>
      <c r="AB1752" s="191"/>
      <c r="AD1752" s="191"/>
      <c r="AF1752" s="191"/>
      <c r="AJ1752" s="189">
        <v>2.8622201411493902</v>
      </c>
      <c r="AK1752" s="208"/>
    </row>
    <row r="1753" spans="1:37" s="189" customFormat="1" ht="12" customHeight="1" x14ac:dyDescent="0.2">
      <c r="A1753" s="204"/>
      <c r="B1753" s="205"/>
      <c r="C1753" s="201" t="s">
        <v>349</v>
      </c>
      <c r="D1753" s="201"/>
      <c r="E1753" s="201"/>
      <c r="F1753" s="232"/>
      <c r="G1753" s="232"/>
      <c r="H1753" s="206" t="s">
        <v>331</v>
      </c>
      <c r="I1753" s="206" t="s">
        <v>536</v>
      </c>
      <c r="J1753" s="206"/>
      <c r="K1753" s="206" t="s">
        <v>537</v>
      </c>
      <c r="L1753" s="207"/>
      <c r="M1753" s="206"/>
      <c r="N1753" s="207"/>
      <c r="O1753" s="206"/>
      <c r="P1753" s="248"/>
      <c r="V1753" s="190"/>
      <c r="W1753" s="191"/>
      <c r="Z1753" s="203" t="s">
        <v>349</v>
      </c>
      <c r="AB1753" s="191"/>
      <c r="AD1753" s="191"/>
      <c r="AF1753" s="191"/>
      <c r="AJ1753" s="189">
        <v>2.8622201411493902</v>
      </c>
      <c r="AK1753" s="208"/>
    </row>
    <row r="1754" spans="1:37" s="189" customFormat="1" ht="12" customHeight="1" x14ac:dyDescent="0.2">
      <c r="A1754" s="204"/>
      <c r="B1754" s="205"/>
      <c r="C1754" s="209" t="s">
        <v>334</v>
      </c>
      <c r="D1754" s="209"/>
      <c r="E1754" s="209"/>
      <c r="H1754" s="210"/>
      <c r="I1754" s="210"/>
      <c r="J1754" s="210"/>
      <c r="K1754" s="210"/>
      <c r="L1754" s="211">
        <v>270.01</v>
      </c>
      <c r="M1754" s="210"/>
      <c r="N1754" s="211">
        <v>2.7</v>
      </c>
      <c r="O1754" s="210"/>
      <c r="P1754" s="197"/>
      <c r="V1754" s="190"/>
      <c r="W1754" s="191"/>
      <c r="AA1754" s="203" t="s">
        <v>334</v>
      </c>
      <c r="AB1754" s="191"/>
      <c r="AD1754" s="191"/>
      <c r="AF1754" s="191"/>
      <c r="AJ1754" s="189">
        <v>2.8622201411493902</v>
      </c>
      <c r="AK1754" s="212"/>
    </row>
    <row r="1755" spans="1:37" s="189" customFormat="1" ht="12" customHeight="1" x14ac:dyDescent="0.2">
      <c r="A1755" s="204"/>
      <c r="B1755" s="205"/>
      <c r="C1755" s="201" t="s">
        <v>57</v>
      </c>
      <c r="D1755" s="201"/>
      <c r="E1755" s="201"/>
      <c r="H1755" s="206"/>
      <c r="I1755" s="206"/>
      <c r="J1755" s="206"/>
      <c r="K1755" s="206"/>
      <c r="L1755" s="207"/>
      <c r="M1755" s="206"/>
      <c r="N1755" s="207">
        <v>2.29</v>
      </c>
      <c r="O1755" s="206"/>
      <c r="P1755" s="248">
        <f>AJ1755*AK1755</f>
        <v>237.56427171539937</v>
      </c>
      <c r="V1755" s="190"/>
      <c r="W1755" s="191"/>
      <c r="Z1755" s="203" t="s">
        <v>57</v>
      </c>
      <c r="AB1755" s="191"/>
      <c r="AD1755" s="191"/>
      <c r="AF1755" s="191"/>
      <c r="AJ1755" s="189">
        <v>2.8622201411493902</v>
      </c>
      <c r="AK1755" s="208">
        <v>83</v>
      </c>
    </row>
    <row r="1756" spans="1:37" s="189" customFormat="1" ht="12" customHeight="1" x14ac:dyDescent="0.2">
      <c r="A1756" s="204"/>
      <c r="B1756" s="205" t="s">
        <v>524</v>
      </c>
      <c r="C1756" s="201" t="s">
        <v>525</v>
      </c>
      <c r="D1756" s="201"/>
      <c r="E1756" s="201"/>
      <c r="H1756" s="206" t="s">
        <v>60</v>
      </c>
      <c r="I1756" s="206" t="s">
        <v>526</v>
      </c>
      <c r="J1756" s="206"/>
      <c r="K1756" s="206" t="s">
        <v>526</v>
      </c>
      <c r="L1756" s="207"/>
      <c r="M1756" s="206"/>
      <c r="N1756" s="207">
        <v>2.2200000000000002</v>
      </c>
      <c r="O1756" s="206"/>
      <c r="P1756" s="248">
        <f>AJ1756*AK1756</f>
        <v>231.83983143310061</v>
      </c>
      <c r="V1756" s="190"/>
      <c r="W1756" s="191"/>
      <c r="Z1756" s="203" t="s">
        <v>525</v>
      </c>
      <c r="AB1756" s="191"/>
      <c r="AD1756" s="191"/>
      <c r="AF1756" s="191"/>
      <c r="AJ1756" s="189">
        <v>2.8622201411493902</v>
      </c>
      <c r="AK1756" s="208">
        <v>81</v>
      </c>
    </row>
    <row r="1757" spans="1:37" s="189" customFormat="1" ht="12" customHeight="1" x14ac:dyDescent="0.2">
      <c r="A1757" s="204"/>
      <c r="B1757" s="205" t="s">
        <v>527</v>
      </c>
      <c r="C1757" s="201" t="s">
        <v>528</v>
      </c>
      <c r="D1757" s="201"/>
      <c r="E1757" s="201"/>
      <c r="F1757" s="232"/>
      <c r="G1757" s="232"/>
      <c r="H1757" s="206" t="s">
        <v>60</v>
      </c>
      <c r="I1757" s="206" t="s">
        <v>254</v>
      </c>
      <c r="J1757" s="206"/>
      <c r="K1757" s="206" t="s">
        <v>254</v>
      </c>
      <c r="L1757" s="207"/>
      <c r="M1757" s="206"/>
      <c r="N1757" s="207">
        <v>1.17</v>
      </c>
      <c r="O1757" s="206"/>
      <c r="P1757" s="248">
        <f>AJ1757*AK1757</f>
        <v>120.21324592827439</v>
      </c>
      <c r="V1757" s="190"/>
      <c r="W1757" s="191"/>
      <c r="Z1757" s="203" t="s">
        <v>528</v>
      </c>
      <c r="AB1757" s="191"/>
      <c r="AD1757" s="191"/>
      <c r="AF1757" s="191"/>
      <c r="AJ1757" s="189">
        <v>2.8622201411493902</v>
      </c>
      <c r="AK1757" s="208">
        <v>42</v>
      </c>
    </row>
    <row r="1758" spans="1:37" s="189" customFormat="1" ht="12" customHeight="1" x14ac:dyDescent="0.2">
      <c r="A1758" s="213"/>
      <c r="B1758" s="214"/>
      <c r="C1758" s="194" t="s">
        <v>63</v>
      </c>
      <c r="D1758" s="194"/>
      <c r="E1758" s="194"/>
      <c r="F1758" s="232"/>
      <c r="G1758" s="232"/>
      <c r="H1758" s="195"/>
      <c r="I1758" s="195"/>
      <c r="J1758" s="195"/>
      <c r="K1758" s="195"/>
      <c r="L1758" s="196"/>
      <c r="M1758" s="195"/>
      <c r="N1758" s="196">
        <v>6.09</v>
      </c>
      <c r="O1758" s="210"/>
      <c r="P1758" s="197">
        <f>AJ1758*AK1758</f>
        <v>598.20400950022258</v>
      </c>
      <c r="V1758" s="190"/>
      <c r="W1758" s="191"/>
      <c r="AB1758" s="191" t="s">
        <v>63</v>
      </c>
      <c r="AD1758" s="191"/>
      <c r="AF1758" s="191"/>
      <c r="AJ1758" s="189">
        <v>2.8622201411493902</v>
      </c>
      <c r="AK1758" s="198">
        <v>209</v>
      </c>
    </row>
    <row r="1759" spans="1:37" s="189" customFormat="1" ht="12" customHeight="1" x14ac:dyDescent="0.2">
      <c r="A1759" s="192">
        <v>423</v>
      </c>
      <c r="B1759" s="193" t="s">
        <v>538</v>
      </c>
      <c r="C1759" s="194" t="s">
        <v>539</v>
      </c>
      <c r="D1759" s="194"/>
      <c r="E1759" s="194"/>
      <c r="H1759" s="195" t="s">
        <v>292</v>
      </c>
      <c r="I1759" s="195"/>
      <c r="J1759" s="195"/>
      <c r="K1759" s="195" t="s">
        <v>540</v>
      </c>
      <c r="L1759" s="196">
        <v>51</v>
      </c>
      <c r="M1759" s="195"/>
      <c r="N1759" s="196">
        <v>5.0999999999999996</v>
      </c>
      <c r="O1759" s="195" t="s">
        <v>403</v>
      </c>
      <c r="P1759" s="197">
        <f>AJ1759*AK1759</f>
        <v>91.591044516780485</v>
      </c>
      <c r="V1759" s="190"/>
      <c r="W1759" s="191" t="s">
        <v>539</v>
      </c>
      <c r="AB1759" s="191"/>
      <c r="AD1759" s="191"/>
      <c r="AF1759" s="191"/>
      <c r="AJ1759" s="189">
        <v>2.8622201411493902</v>
      </c>
      <c r="AK1759" s="198">
        <v>32</v>
      </c>
    </row>
    <row r="1760" spans="1:37" s="189" customFormat="1" ht="12" customHeight="1" x14ac:dyDescent="0.2">
      <c r="A1760" s="206"/>
      <c r="B1760" s="200"/>
      <c r="C1760" s="201" t="s">
        <v>541</v>
      </c>
      <c r="D1760" s="201"/>
      <c r="E1760" s="201"/>
      <c r="F1760" s="201"/>
      <c r="G1760" s="201"/>
      <c r="H1760" s="201"/>
      <c r="I1760" s="201"/>
      <c r="J1760" s="201"/>
      <c r="K1760" s="201"/>
      <c r="L1760" s="201"/>
      <c r="M1760" s="201"/>
      <c r="N1760" s="201"/>
      <c r="P1760" s="291"/>
      <c r="V1760" s="190"/>
      <c r="W1760" s="191"/>
      <c r="X1760" s="203" t="s">
        <v>541</v>
      </c>
      <c r="AB1760" s="191"/>
      <c r="AD1760" s="191"/>
      <c r="AF1760" s="191"/>
      <c r="AJ1760" s="189">
        <v>2.8622201411493902</v>
      </c>
    </row>
    <row r="1761" spans="1:37" s="189" customFormat="1" ht="12" customHeight="1" x14ac:dyDescent="0.2">
      <c r="A1761" s="219" t="s">
        <v>542</v>
      </c>
      <c r="B1761" s="219"/>
      <c r="C1761" s="219"/>
      <c r="D1761" s="219"/>
      <c r="E1761" s="219"/>
      <c r="F1761" s="219"/>
      <c r="G1761" s="219"/>
      <c r="H1761" s="219"/>
      <c r="I1761" s="219"/>
      <c r="J1761" s="219"/>
      <c r="K1761" s="219"/>
      <c r="L1761" s="219"/>
      <c r="M1761" s="219"/>
      <c r="N1761" s="219"/>
      <c r="O1761" s="235"/>
      <c r="P1761" s="288"/>
      <c r="V1761" s="190"/>
      <c r="W1761" s="191"/>
      <c r="AB1761" s="191"/>
      <c r="AD1761" s="191" t="s">
        <v>542</v>
      </c>
      <c r="AF1761" s="191"/>
      <c r="AJ1761" s="189">
        <v>2.8622201411493902</v>
      </c>
    </row>
    <row r="1762" spans="1:37" s="189" customFormat="1" ht="12" customHeight="1" x14ac:dyDescent="0.2">
      <c r="A1762" s="213">
        <v>424</v>
      </c>
      <c r="B1762" s="214" t="s">
        <v>543</v>
      </c>
      <c r="C1762" s="244" t="s">
        <v>544</v>
      </c>
      <c r="D1762" s="244"/>
      <c r="E1762" s="244"/>
      <c r="H1762" s="221" t="s">
        <v>75</v>
      </c>
      <c r="I1762" s="221"/>
      <c r="J1762" s="221"/>
      <c r="K1762" s="221" t="s">
        <v>397</v>
      </c>
      <c r="L1762" s="245"/>
      <c r="M1762" s="221"/>
      <c r="N1762" s="245"/>
      <c r="O1762" s="221"/>
      <c r="P1762" s="197"/>
      <c r="V1762" s="190"/>
      <c r="W1762" s="191" t="s">
        <v>544</v>
      </c>
      <c r="AB1762" s="191"/>
      <c r="AD1762" s="191"/>
      <c r="AF1762" s="191"/>
      <c r="AJ1762" s="189">
        <v>2.8622201411493902</v>
      </c>
      <c r="AK1762" s="198"/>
    </row>
    <row r="1763" spans="1:37" s="189" customFormat="1" ht="12" customHeight="1" x14ac:dyDescent="0.2">
      <c r="A1763" s="199"/>
      <c r="B1763" s="200"/>
      <c r="C1763" s="201" t="s">
        <v>386</v>
      </c>
      <c r="D1763" s="201"/>
      <c r="E1763" s="201"/>
      <c r="F1763" s="201"/>
      <c r="G1763" s="201"/>
      <c r="H1763" s="201"/>
      <c r="I1763" s="201"/>
      <c r="J1763" s="201"/>
      <c r="K1763" s="201"/>
      <c r="L1763" s="201"/>
      <c r="M1763" s="201"/>
      <c r="N1763" s="201"/>
      <c r="P1763" s="288"/>
      <c r="V1763" s="190"/>
      <c r="W1763" s="191"/>
      <c r="X1763" s="203" t="s">
        <v>386</v>
      </c>
      <c r="AB1763" s="191"/>
      <c r="AD1763" s="191"/>
      <c r="AF1763" s="191"/>
      <c r="AJ1763" s="189">
        <v>2.8622201411493902</v>
      </c>
    </row>
    <row r="1764" spans="1:37" s="189" customFormat="1" ht="12" customHeight="1" x14ac:dyDescent="0.2">
      <c r="A1764" s="204"/>
      <c r="B1764" s="205" t="s">
        <v>52</v>
      </c>
      <c r="C1764" s="201" t="s">
        <v>328</v>
      </c>
      <c r="D1764" s="201"/>
      <c r="E1764" s="201"/>
      <c r="H1764" s="206"/>
      <c r="I1764" s="206"/>
      <c r="J1764" s="206"/>
      <c r="K1764" s="206"/>
      <c r="L1764" s="207">
        <v>3342.87</v>
      </c>
      <c r="M1764" s="206"/>
      <c r="N1764" s="207">
        <v>33.43</v>
      </c>
      <c r="O1764" s="206" t="s">
        <v>329</v>
      </c>
      <c r="P1764" s="248">
        <f>AJ1764*AK1764</f>
        <v>3480.4596916376586</v>
      </c>
      <c r="V1764" s="190"/>
      <c r="W1764" s="191"/>
      <c r="Y1764" s="203" t="s">
        <v>328</v>
      </c>
      <c r="AB1764" s="191"/>
      <c r="AD1764" s="191"/>
      <c r="AF1764" s="191"/>
      <c r="AJ1764" s="189">
        <v>2.8622201411493902</v>
      </c>
      <c r="AK1764" s="208">
        <v>1216</v>
      </c>
    </row>
    <row r="1765" spans="1:37" s="189" customFormat="1" ht="12" customHeight="1" x14ac:dyDescent="0.2">
      <c r="A1765" s="204"/>
      <c r="B1765" s="205" t="s">
        <v>64</v>
      </c>
      <c r="C1765" s="201" t="s">
        <v>344</v>
      </c>
      <c r="D1765" s="201"/>
      <c r="E1765" s="201"/>
      <c r="H1765" s="206"/>
      <c r="I1765" s="206"/>
      <c r="J1765" s="206"/>
      <c r="K1765" s="206"/>
      <c r="L1765" s="207">
        <v>87.43</v>
      </c>
      <c r="M1765" s="206"/>
      <c r="N1765" s="207">
        <v>0.87</v>
      </c>
      <c r="O1765" s="206" t="s">
        <v>345</v>
      </c>
      <c r="P1765" s="248">
        <f>AJ1765*AK1765</f>
        <v>25.759981270344511</v>
      </c>
      <c r="V1765" s="190"/>
      <c r="W1765" s="191"/>
      <c r="Y1765" s="203" t="s">
        <v>344</v>
      </c>
      <c r="AB1765" s="191"/>
      <c r="AD1765" s="191"/>
      <c r="AF1765" s="191"/>
      <c r="AJ1765" s="189">
        <v>2.8622201411493902</v>
      </c>
      <c r="AK1765" s="208">
        <v>9</v>
      </c>
    </row>
    <row r="1766" spans="1:37" s="189" customFormat="1" ht="12" customHeight="1" x14ac:dyDescent="0.2">
      <c r="A1766" s="204"/>
      <c r="B1766" s="205" t="s">
        <v>68</v>
      </c>
      <c r="C1766" s="201" t="s">
        <v>346</v>
      </c>
      <c r="D1766" s="201"/>
      <c r="E1766" s="201"/>
      <c r="H1766" s="206"/>
      <c r="I1766" s="206"/>
      <c r="J1766" s="206"/>
      <c r="K1766" s="206"/>
      <c r="L1766" s="207">
        <v>16.48</v>
      </c>
      <c r="M1766" s="206"/>
      <c r="N1766" s="207">
        <v>0.16</v>
      </c>
      <c r="O1766" s="206" t="s">
        <v>329</v>
      </c>
      <c r="P1766" s="248">
        <f>AJ1766*AK1766</f>
        <v>17.173320846896342</v>
      </c>
      <c r="V1766" s="190"/>
      <c r="W1766" s="191"/>
      <c r="Y1766" s="203" t="s">
        <v>346</v>
      </c>
      <c r="AB1766" s="191"/>
      <c r="AD1766" s="191"/>
      <c r="AF1766" s="191"/>
      <c r="AJ1766" s="189">
        <v>2.8622201411493902</v>
      </c>
      <c r="AK1766" s="208">
        <v>6</v>
      </c>
    </row>
    <row r="1767" spans="1:37" s="189" customFormat="1" ht="12" customHeight="1" x14ac:dyDescent="0.2">
      <c r="A1767" s="204"/>
      <c r="B1767" s="205" t="s">
        <v>72</v>
      </c>
      <c r="C1767" s="201" t="s">
        <v>402</v>
      </c>
      <c r="D1767" s="201"/>
      <c r="E1767" s="201"/>
      <c r="H1767" s="206"/>
      <c r="I1767" s="206"/>
      <c r="J1767" s="206"/>
      <c r="K1767" s="206"/>
      <c r="L1767" s="207">
        <v>750.8</v>
      </c>
      <c r="M1767" s="206"/>
      <c r="N1767" s="207">
        <v>7.51</v>
      </c>
      <c r="O1767" s="206" t="s">
        <v>403</v>
      </c>
      <c r="P1767" s="248">
        <f>AJ1767*AK1767</f>
        <v>134.52434663402133</v>
      </c>
      <c r="V1767" s="190"/>
      <c r="W1767" s="191"/>
      <c r="Y1767" s="203" t="s">
        <v>402</v>
      </c>
      <c r="AB1767" s="191"/>
      <c r="AD1767" s="191"/>
      <c r="AF1767" s="191"/>
      <c r="AJ1767" s="189">
        <v>2.8622201411493902</v>
      </c>
      <c r="AK1767" s="208">
        <v>47</v>
      </c>
    </row>
    <row r="1768" spans="1:37" s="189" customFormat="1" ht="12" customHeight="1" x14ac:dyDescent="0.2">
      <c r="A1768" s="204"/>
      <c r="B1768" s="205"/>
      <c r="C1768" s="201" t="s">
        <v>330</v>
      </c>
      <c r="D1768" s="201"/>
      <c r="E1768" s="201"/>
      <c r="H1768" s="206" t="s">
        <v>331</v>
      </c>
      <c r="I1768" s="206" t="s">
        <v>545</v>
      </c>
      <c r="J1768" s="206"/>
      <c r="K1768" s="206" t="s">
        <v>546</v>
      </c>
      <c r="L1768" s="207"/>
      <c r="M1768" s="206"/>
      <c r="N1768" s="207"/>
      <c r="O1768" s="206"/>
      <c r="P1768" s="248"/>
      <c r="V1768" s="190"/>
      <c r="W1768" s="191"/>
      <c r="Z1768" s="203" t="s">
        <v>330</v>
      </c>
      <c r="AB1768" s="191"/>
      <c r="AD1768" s="191"/>
      <c r="AF1768" s="191"/>
      <c r="AJ1768" s="189">
        <v>2.8622201411493902</v>
      </c>
      <c r="AK1768" s="208"/>
    </row>
    <row r="1769" spans="1:37" s="189" customFormat="1" ht="12" customHeight="1" x14ac:dyDescent="0.2">
      <c r="A1769" s="204"/>
      <c r="B1769" s="205"/>
      <c r="C1769" s="201" t="s">
        <v>349</v>
      </c>
      <c r="D1769" s="201"/>
      <c r="E1769" s="201"/>
      <c r="F1769" s="232"/>
      <c r="G1769" s="232"/>
      <c r="H1769" s="206" t="s">
        <v>331</v>
      </c>
      <c r="I1769" s="206" t="s">
        <v>547</v>
      </c>
      <c r="J1769" s="206"/>
      <c r="K1769" s="206" t="s">
        <v>548</v>
      </c>
      <c r="L1769" s="207"/>
      <c r="M1769" s="206"/>
      <c r="N1769" s="207"/>
      <c r="O1769" s="206"/>
      <c r="P1769" s="248"/>
      <c r="V1769" s="190"/>
      <c r="W1769" s="191"/>
      <c r="Z1769" s="203" t="s">
        <v>349</v>
      </c>
      <c r="AB1769" s="191"/>
      <c r="AD1769" s="191"/>
      <c r="AF1769" s="191"/>
      <c r="AJ1769" s="189">
        <v>2.8622201411493902</v>
      </c>
      <c r="AK1769" s="208"/>
    </row>
    <row r="1770" spans="1:37" s="189" customFormat="1" ht="12" customHeight="1" x14ac:dyDescent="0.2">
      <c r="A1770" s="204"/>
      <c r="B1770" s="205"/>
      <c r="C1770" s="209" t="s">
        <v>334</v>
      </c>
      <c r="D1770" s="209"/>
      <c r="E1770" s="209"/>
      <c r="H1770" s="210"/>
      <c r="I1770" s="210"/>
      <c r="J1770" s="210"/>
      <c r="K1770" s="210"/>
      <c r="L1770" s="211">
        <v>4181.1000000000004</v>
      </c>
      <c r="M1770" s="210"/>
      <c r="N1770" s="211">
        <v>41.710999999999999</v>
      </c>
      <c r="O1770" s="210"/>
      <c r="P1770" s="197"/>
      <c r="V1770" s="190"/>
      <c r="W1770" s="191"/>
      <c r="AA1770" s="203" t="s">
        <v>334</v>
      </c>
      <c r="AB1770" s="191"/>
      <c r="AD1770" s="191"/>
      <c r="AF1770" s="191"/>
      <c r="AJ1770" s="189">
        <v>2.8622201411493902</v>
      </c>
      <c r="AK1770" s="212"/>
    </row>
    <row r="1771" spans="1:37" s="189" customFormat="1" ht="12" customHeight="1" x14ac:dyDescent="0.2">
      <c r="A1771" s="204"/>
      <c r="B1771" s="205"/>
      <c r="C1771" s="201" t="s">
        <v>57</v>
      </c>
      <c r="D1771" s="201"/>
      <c r="E1771" s="201"/>
      <c r="H1771" s="206"/>
      <c r="I1771" s="206"/>
      <c r="J1771" s="206"/>
      <c r="K1771" s="206"/>
      <c r="L1771" s="207"/>
      <c r="M1771" s="206"/>
      <c r="N1771" s="207">
        <v>33.590000000000003</v>
      </c>
      <c r="O1771" s="206"/>
      <c r="P1771" s="248">
        <f>AJ1771*AK1771</f>
        <v>3497.6330124845549</v>
      </c>
      <c r="V1771" s="190"/>
      <c r="W1771" s="191"/>
      <c r="Z1771" s="203" t="s">
        <v>57</v>
      </c>
      <c r="AB1771" s="191"/>
      <c r="AD1771" s="191"/>
      <c r="AF1771" s="191"/>
      <c r="AJ1771" s="189">
        <v>2.8622201411493902</v>
      </c>
      <c r="AK1771" s="208">
        <v>1222</v>
      </c>
    </row>
    <row r="1772" spans="1:37" s="189" customFormat="1" ht="12" customHeight="1" x14ac:dyDescent="0.2">
      <c r="A1772" s="204"/>
      <c r="B1772" s="205" t="s">
        <v>549</v>
      </c>
      <c r="C1772" s="201" t="s">
        <v>226</v>
      </c>
      <c r="D1772" s="201"/>
      <c r="E1772" s="201"/>
      <c r="H1772" s="206" t="s">
        <v>60</v>
      </c>
      <c r="I1772" s="206" t="s">
        <v>381</v>
      </c>
      <c r="J1772" s="206"/>
      <c r="K1772" s="206" t="s">
        <v>381</v>
      </c>
      <c r="L1772" s="207"/>
      <c r="M1772" s="206"/>
      <c r="N1772" s="207">
        <v>34.6</v>
      </c>
      <c r="O1772" s="206"/>
      <c r="P1772" s="248">
        <f>AJ1772*AK1772</f>
        <v>3603.5351577070824</v>
      </c>
      <c r="V1772" s="190"/>
      <c r="W1772" s="191"/>
      <c r="Z1772" s="203" t="s">
        <v>226</v>
      </c>
      <c r="AB1772" s="191"/>
      <c r="AD1772" s="191"/>
      <c r="AF1772" s="191"/>
      <c r="AJ1772" s="189">
        <v>2.8622201411493902</v>
      </c>
      <c r="AK1772" s="208">
        <v>1259</v>
      </c>
    </row>
    <row r="1773" spans="1:37" s="189" customFormat="1" ht="12" customHeight="1" x14ac:dyDescent="0.2">
      <c r="A1773" s="204"/>
      <c r="B1773" s="205" t="s">
        <v>550</v>
      </c>
      <c r="C1773" s="201" t="s">
        <v>228</v>
      </c>
      <c r="D1773" s="201"/>
      <c r="E1773" s="201"/>
      <c r="F1773" s="232"/>
      <c r="G1773" s="232"/>
      <c r="H1773" s="206" t="s">
        <v>60</v>
      </c>
      <c r="I1773" s="206" t="s">
        <v>257</v>
      </c>
      <c r="J1773" s="206"/>
      <c r="K1773" s="206" t="s">
        <v>257</v>
      </c>
      <c r="L1773" s="207"/>
      <c r="M1773" s="206"/>
      <c r="N1773" s="207">
        <v>17.47</v>
      </c>
      <c r="O1773" s="206"/>
      <c r="P1773" s="248">
        <f>AJ1773*AK1773</f>
        <v>1817.5097896298628</v>
      </c>
      <c r="V1773" s="190"/>
      <c r="W1773" s="191"/>
      <c r="Z1773" s="203" t="s">
        <v>228</v>
      </c>
      <c r="AB1773" s="191"/>
      <c r="AD1773" s="191"/>
      <c r="AF1773" s="191"/>
      <c r="AJ1773" s="189">
        <v>2.8622201411493902</v>
      </c>
      <c r="AK1773" s="208">
        <v>635</v>
      </c>
    </row>
    <row r="1774" spans="1:37" s="189" customFormat="1" ht="12" customHeight="1" x14ac:dyDescent="0.2">
      <c r="A1774" s="213"/>
      <c r="B1774" s="214"/>
      <c r="C1774" s="194" t="s">
        <v>63</v>
      </c>
      <c r="D1774" s="194"/>
      <c r="E1774" s="194"/>
      <c r="F1774" s="235"/>
      <c r="G1774" s="235"/>
      <c r="H1774" s="195"/>
      <c r="I1774" s="195"/>
      <c r="J1774" s="195"/>
      <c r="K1774" s="195"/>
      <c r="L1774" s="196"/>
      <c r="M1774" s="195"/>
      <c r="N1774" s="196">
        <v>93.88</v>
      </c>
      <c r="O1774" s="210"/>
      <c r="P1774" s="215">
        <f>AJ1775*AK1775</f>
        <v>5982.0400950022258</v>
      </c>
      <c r="V1774" s="190"/>
      <c r="W1774" s="191"/>
      <c r="AB1774" s="191" t="s">
        <v>63</v>
      </c>
      <c r="AD1774" s="191"/>
      <c r="AF1774" s="191"/>
      <c r="AJ1774" s="189">
        <v>2.8622201411493902</v>
      </c>
      <c r="AK1774" s="198">
        <v>3166</v>
      </c>
    </row>
    <row r="1775" spans="1:37" s="189" customFormat="1" ht="12" customHeight="1" x14ac:dyDescent="0.2">
      <c r="A1775" s="192">
        <v>425</v>
      </c>
      <c r="B1775" s="193" t="s">
        <v>551</v>
      </c>
      <c r="C1775" s="194" t="s">
        <v>552</v>
      </c>
      <c r="D1775" s="194"/>
      <c r="E1775" s="194"/>
      <c r="F1775" s="235"/>
      <c r="G1775" s="235"/>
      <c r="H1775" s="195" t="s">
        <v>553</v>
      </c>
      <c r="I1775" s="195"/>
      <c r="J1775" s="195"/>
      <c r="K1775" s="195" t="s">
        <v>52</v>
      </c>
      <c r="L1775" s="196">
        <v>337.08</v>
      </c>
      <c r="M1775" s="195"/>
      <c r="N1775" s="196">
        <v>337.08</v>
      </c>
      <c r="O1775" s="195" t="s">
        <v>403</v>
      </c>
      <c r="P1775" s="197">
        <f>AJ1774*AK1774</f>
        <v>9061.7889668789685</v>
      </c>
      <c r="V1775" s="190"/>
      <c r="W1775" s="191" t="s">
        <v>552</v>
      </c>
      <c r="AB1775" s="191"/>
      <c r="AD1775" s="191"/>
      <c r="AF1775" s="191"/>
      <c r="AJ1775" s="189">
        <v>2.8622201411493902</v>
      </c>
      <c r="AK1775" s="198">
        <v>2090</v>
      </c>
    </row>
    <row r="1776" spans="1:37" s="189" customFormat="1" ht="12" customHeight="1" x14ac:dyDescent="0.2">
      <c r="A1776" s="192"/>
      <c r="B1776" s="193" t="s">
        <v>554</v>
      </c>
      <c r="C1776" s="194" t="s">
        <v>281</v>
      </c>
      <c r="D1776" s="194"/>
      <c r="E1776" s="194"/>
      <c r="H1776" s="195" t="s">
        <v>75</v>
      </c>
      <c r="I1776" s="195"/>
      <c r="J1776" s="195"/>
      <c r="K1776" s="195" t="s">
        <v>397</v>
      </c>
      <c r="L1776" s="196"/>
      <c r="M1776" s="195"/>
      <c r="N1776" s="196"/>
      <c r="O1776" s="195"/>
      <c r="P1776" s="197"/>
      <c r="V1776" s="190"/>
      <c r="W1776" s="191" t="s">
        <v>281</v>
      </c>
      <c r="AB1776" s="191"/>
      <c r="AD1776" s="191"/>
      <c r="AF1776" s="191"/>
      <c r="AJ1776" s="189">
        <v>2.8622201411493902</v>
      </c>
      <c r="AK1776" s="198"/>
    </row>
    <row r="1777" spans="1:37" s="189" customFormat="1" ht="12" customHeight="1" x14ac:dyDescent="0.2">
      <c r="A1777" s="199"/>
      <c r="B1777" s="200"/>
      <c r="C1777" s="201" t="s">
        <v>386</v>
      </c>
      <c r="D1777" s="201"/>
      <c r="E1777" s="201"/>
      <c r="F1777" s="201"/>
      <c r="G1777" s="201"/>
      <c r="H1777" s="201"/>
      <c r="I1777" s="201"/>
      <c r="J1777" s="201"/>
      <c r="K1777" s="201"/>
      <c r="L1777" s="201"/>
      <c r="M1777" s="201"/>
      <c r="N1777" s="201"/>
      <c r="P1777" s="288"/>
      <c r="V1777" s="190"/>
      <c r="W1777" s="191"/>
      <c r="X1777" s="203" t="s">
        <v>386</v>
      </c>
      <c r="AB1777" s="191"/>
      <c r="AD1777" s="191"/>
      <c r="AF1777" s="191"/>
      <c r="AJ1777" s="189">
        <v>2.8622201411493902</v>
      </c>
    </row>
    <row r="1778" spans="1:37" s="189" customFormat="1" ht="12" customHeight="1" x14ac:dyDescent="0.2">
      <c r="A1778" s="204"/>
      <c r="B1778" s="205" t="s">
        <v>52</v>
      </c>
      <c r="C1778" s="201" t="s">
        <v>328</v>
      </c>
      <c r="D1778" s="201"/>
      <c r="E1778" s="201"/>
      <c r="H1778" s="206"/>
      <c r="I1778" s="206"/>
      <c r="J1778" s="206"/>
      <c r="K1778" s="206"/>
      <c r="L1778" s="207">
        <v>1717.2</v>
      </c>
      <c r="M1778" s="206"/>
      <c r="N1778" s="207">
        <v>17.170000000000002</v>
      </c>
      <c r="O1778" s="206" t="s">
        <v>329</v>
      </c>
      <c r="P1778" s="248">
        <f>AJ1778*AK1778</f>
        <v>1788.8875882183688</v>
      </c>
      <c r="V1778" s="190"/>
      <c r="W1778" s="191"/>
      <c r="Y1778" s="203" t="s">
        <v>328</v>
      </c>
      <c r="AB1778" s="191"/>
      <c r="AD1778" s="191"/>
      <c r="AF1778" s="191"/>
      <c r="AJ1778" s="189">
        <v>2.8622201411493902</v>
      </c>
      <c r="AK1778" s="208">
        <v>625</v>
      </c>
    </row>
    <row r="1779" spans="1:37" s="189" customFormat="1" ht="12" customHeight="1" x14ac:dyDescent="0.2">
      <c r="A1779" s="204"/>
      <c r="B1779" s="205" t="s">
        <v>64</v>
      </c>
      <c r="C1779" s="201" t="s">
        <v>344</v>
      </c>
      <c r="D1779" s="201"/>
      <c r="E1779" s="201"/>
      <c r="H1779" s="206"/>
      <c r="I1779" s="206"/>
      <c r="J1779" s="206"/>
      <c r="K1779" s="206"/>
      <c r="L1779" s="207">
        <v>81.599999999999994</v>
      </c>
      <c r="M1779" s="206"/>
      <c r="N1779" s="207">
        <v>0.82</v>
      </c>
      <c r="O1779" s="206" t="s">
        <v>345</v>
      </c>
      <c r="P1779" s="248">
        <f>AJ1779*AK1779</f>
        <v>25.759981270344511</v>
      </c>
      <c r="V1779" s="190"/>
      <c r="W1779" s="191"/>
      <c r="Y1779" s="203" t="s">
        <v>344</v>
      </c>
      <c r="AB1779" s="191"/>
      <c r="AD1779" s="191"/>
      <c r="AF1779" s="191"/>
      <c r="AJ1779" s="189">
        <v>2.8622201411493902</v>
      </c>
      <c r="AK1779" s="208">
        <v>9</v>
      </c>
    </row>
    <row r="1780" spans="1:37" s="189" customFormat="1" ht="12" customHeight="1" x14ac:dyDescent="0.2">
      <c r="A1780" s="204"/>
      <c r="B1780" s="205" t="s">
        <v>68</v>
      </c>
      <c r="C1780" s="201" t="s">
        <v>346</v>
      </c>
      <c r="D1780" s="201"/>
      <c r="E1780" s="201"/>
      <c r="H1780" s="206"/>
      <c r="I1780" s="206"/>
      <c r="J1780" s="206"/>
      <c r="K1780" s="206"/>
      <c r="L1780" s="207">
        <v>15.38</v>
      </c>
      <c r="M1780" s="206"/>
      <c r="N1780" s="207">
        <v>0.15</v>
      </c>
      <c r="O1780" s="206" t="s">
        <v>329</v>
      </c>
      <c r="P1780" s="248">
        <f>AJ1780*AK1780</f>
        <v>14.31110070574695</v>
      </c>
      <c r="V1780" s="190"/>
      <c r="W1780" s="191"/>
      <c r="Y1780" s="203" t="s">
        <v>346</v>
      </c>
      <c r="AB1780" s="191"/>
      <c r="AD1780" s="191"/>
      <c r="AF1780" s="191"/>
      <c r="AJ1780" s="189">
        <v>2.8622201411493902</v>
      </c>
      <c r="AK1780" s="208">
        <v>5</v>
      </c>
    </row>
    <row r="1781" spans="1:37" s="189" customFormat="1" ht="12" customHeight="1" x14ac:dyDescent="0.2">
      <c r="A1781" s="204"/>
      <c r="B1781" s="205" t="s">
        <v>72</v>
      </c>
      <c r="C1781" s="201" t="s">
        <v>402</v>
      </c>
      <c r="D1781" s="201"/>
      <c r="E1781" s="201"/>
      <c r="H1781" s="206"/>
      <c r="I1781" s="206"/>
      <c r="J1781" s="206"/>
      <c r="K1781" s="206"/>
      <c r="L1781" s="207">
        <v>838.22</v>
      </c>
      <c r="M1781" s="206"/>
      <c r="N1781" s="207">
        <v>8.3800000000000008</v>
      </c>
      <c r="O1781" s="206" t="s">
        <v>403</v>
      </c>
      <c r="P1781" s="248">
        <f>AJ1781*AK1781</f>
        <v>148.83544733976828</v>
      </c>
      <c r="V1781" s="190"/>
      <c r="W1781" s="191"/>
      <c r="Y1781" s="203" t="s">
        <v>402</v>
      </c>
      <c r="AB1781" s="191"/>
      <c r="AD1781" s="191"/>
      <c r="AF1781" s="191"/>
      <c r="AJ1781" s="189">
        <v>2.8622201411493902</v>
      </c>
      <c r="AK1781" s="208">
        <v>52</v>
      </c>
    </row>
    <row r="1782" spans="1:37" s="189" customFormat="1" ht="12" customHeight="1" x14ac:dyDescent="0.2">
      <c r="A1782" s="204"/>
      <c r="B1782" s="205"/>
      <c r="C1782" s="201" t="s">
        <v>330</v>
      </c>
      <c r="D1782" s="201"/>
      <c r="E1782" s="201"/>
      <c r="H1782" s="206" t="s">
        <v>331</v>
      </c>
      <c r="I1782" s="206" t="s">
        <v>555</v>
      </c>
      <c r="J1782" s="206"/>
      <c r="K1782" s="206" t="s">
        <v>556</v>
      </c>
      <c r="L1782" s="207"/>
      <c r="M1782" s="206"/>
      <c r="N1782" s="207"/>
      <c r="O1782" s="206"/>
      <c r="P1782" s="248"/>
      <c r="V1782" s="190"/>
      <c r="W1782" s="191"/>
      <c r="Z1782" s="203" t="s">
        <v>330</v>
      </c>
      <c r="AB1782" s="191"/>
      <c r="AD1782" s="191"/>
      <c r="AF1782" s="191"/>
      <c r="AJ1782" s="189">
        <v>2.8622201411493902</v>
      </c>
      <c r="AK1782" s="208"/>
    </row>
    <row r="1783" spans="1:37" s="189" customFormat="1" ht="12" customHeight="1" x14ac:dyDescent="0.2">
      <c r="A1783" s="204"/>
      <c r="B1783" s="205"/>
      <c r="C1783" s="201" t="s">
        <v>349</v>
      </c>
      <c r="D1783" s="201"/>
      <c r="E1783" s="201"/>
      <c r="F1783" s="232"/>
      <c r="G1783" s="232"/>
      <c r="H1783" s="206" t="s">
        <v>331</v>
      </c>
      <c r="I1783" s="206" t="s">
        <v>557</v>
      </c>
      <c r="J1783" s="206"/>
      <c r="K1783" s="206" t="s">
        <v>558</v>
      </c>
      <c r="L1783" s="207"/>
      <c r="M1783" s="206"/>
      <c r="N1783" s="207"/>
      <c r="O1783" s="206"/>
      <c r="P1783" s="248"/>
      <c r="V1783" s="190"/>
      <c r="W1783" s="191"/>
      <c r="Z1783" s="203" t="s">
        <v>349</v>
      </c>
      <c r="AB1783" s="191"/>
      <c r="AD1783" s="191"/>
      <c r="AF1783" s="191"/>
      <c r="AJ1783" s="189">
        <v>2.8622201411493902</v>
      </c>
      <c r="AK1783" s="208"/>
    </row>
    <row r="1784" spans="1:37" s="189" customFormat="1" ht="12" customHeight="1" x14ac:dyDescent="0.2">
      <c r="A1784" s="204"/>
      <c r="B1784" s="205"/>
      <c r="C1784" s="209" t="s">
        <v>334</v>
      </c>
      <c r="D1784" s="209"/>
      <c r="E1784" s="209"/>
      <c r="H1784" s="210"/>
      <c r="I1784" s="210"/>
      <c r="J1784" s="210"/>
      <c r="K1784" s="210"/>
      <c r="L1784" s="211">
        <v>2637.02</v>
      </c>
      <c r="M1784" s="210"/>
      <c r="N1784" s="211">
        <v>26.37</v>
      </c>
      <c r="O1784" s="210"/>
      <c r="P1784" s="197"/>
      <c r="V1784" s="190"/>
      <c r="W1784" s="191"/>
      <c r="AA1784" s="203" t="s">
        <v>334</v>
      </c>
      <c r="AB1784" s="191"/>
      <c r="AD1784" s="191"/>
      <c r="AF1784" s="191"/>
      <c r="AJ1784" s="189">
        <v>2.8622201411493902</v>
      </c>
      <c r="AK1784" s="212"/>
    </row>
    <row r="1785" spans="1:37" s="189" customFormat="1" ht="12" customHeight="1" x14ac:dyDescent="0.2">
      <c r="A1785" s="204"/>
      <c r="B1785" s="205"/>
      <c r="C1785" s="201" t="s">
        <v>57</v>
      </c>
      <c r="D1785" s="201"/>
      <c r="E1785" s="201"/>
      <c r="H1785" s="206"/>
      <c r="I1785" s="206"/>
      <c r="J1785" s="206"/>
      <c r="K1785" s="206"/>
      <c r="L1785" s="207"/>
      <c r="M1785" s="206"/>
      <c r="N1785" s="207">
        <v>17.32</v>
      </c>
      <c r="O1785" s="206"/>
      <c r="P1785" s="248">
        <f>AJ1785*AK1785</f>
        <v>1803.1986889241159</v>
      </c>
      <c r="V1785" s="190"/>
      <c r="W1785" s="191"/>
      <c r="Z1785" s="203" t="s">
        <v>57</v>
      </c>
      <c r="AB1785" s="191"/>
      <c r="AD1785" s="191"/>
      <c r="AF1785" s="191"/>
      <c r="AJ1785" s="189">
        <v>2.8622201411493902</v>
      </c>
      <c r="AK1785" s="208">
        <v>630</v>
      </c>
    </row>
    <row r="1786" spans="1:37" s="189" customFormat="1" ht="12" customHeight="1" x14ac:dyDescent="0.2">
      <c r="A1786" s="204"/>
      <c r="B1786" s="205" t="s">
        <v>549</v>
      </c>
      <c r="C1786" s="201" t="s">
        <v>226</v>
      </c>
      <c r="D1786" s="201"/>
      <c r="E1786" s="201"/>
      <c r="H1786" s="206" t="s">
        <v>60</v>
      </c>
      <c r="I1786" s="206" t="s">
        <v>381</v>
      </c>
      <c r="J1786" s="206"/>
      <c r="K1786" s="206" t="s">
        <v>381</v>
      </c>
      <c r="L1786" s="207"/>
      <c r="M1786" s="206"/>
      <c r="N1786" s="207">
        <v>17.84</v>
      </c>
      <c r="O1786" s="206"/>
      <c r="P1786" s="248">
        <f>AJ1786*AK1786</f>
        <v>1857.5808716059541</v>
      </c>
      <c r="V1786" s="190"/>
      <c r="W1786" s="191"/>
      <c r="Z1786" s="203" t="s">
        <v>226</v>
      </c>
      <c r="AB1786" s="191"/>
      <c r="AD1786" s="191"/>
      <c r="AF1786" s="191"/>
      <c r="AJ1786" s="189">
        <v>2.8622201411493902</v>
      </c>
      <c r="AK1786" s="208">
        <v>649</v>
      </c>
    </row>
    <row r="1787" spans="1:37" s="189" customFormat="1" ht="12" customHeight="1" x14ac:dyDescent="0.2">
      <c r="A1787" s="204"/>
      <c r="B1787" s="205" t="s">
        <v>550</v>
      </c>
      <c r="C1787" s="201" t="s">
        <v>228</v>
      </c>
      <c r="D1787" s="201"/>
      <c r="E1787" s="201"/>
      <c r="F1787" s="232"/>
      <c r="G1787" s="232"/>
      <c r="H1787" s="206" t="s">
        <v>60</v>
      </c>
      <c r="I1787" s="206" t="s">
        <v>257</v>
      </c>
      <c r="J1787" s="206"/>
      <c r="K1787" s="206" t="s">
        <v>257</v>
      </c>
      <c r="L1787" s="207"/>
      <c r="M1787" s="206"/>
      <c r="N1787" s="207">
        <v>9.01</v>
      </c>
      <c r="O1787" s="206"/>
      <c r="P1787" s="248">
        <f>AJ1787*AK1787</f>
        <v>938.80820629699997</v>
      </c>
      <c r="V1787" s="190"/>
      <c r="W1787" s="191"/>
      <c r="Z1787" s="203" t="s">
        <v>228</v>
      </c>
      <c r="AB1787" s="191"/>
      <c r="AD1787" s="191"/>
      <c r="AF1787" s="191"/>
      <c r="AJ1787" s="189">
        <v>2.8622201411493902</v>
      </c>
      <c r="AK1787" s="208">
        <v>328</v>
      </c>
    </row>
    <row r="1788" spans="1:37" s="189" customFormat="1" ht="12" customHeight="1" x14ac:dyDescent="0.2">
      <c r="A1788" s="213"/>
      <c r="B1788" s="214"/>
      <c r="C1788" s="194" t="s">
        <v>63</v>
      </c>
      <c r="D1788" s="194"/>
      <c r="E1788" s="194"/>
      <c r="F1788" s="232"/>
      <c r="G1788" s="232"/>
      <c r="H1788" s="195"/>
      <c r="I1788" s="195"/>
      <c r="J1788" s="195"/>
      <c r="K1788" s="195"/>
      <c r="L1788" s="196"/>
      <c r="M1788" s="195"/>
      <c r="N1788" s="196">
        <v>53.22</v>
      </c>
      <c r="O1788" s="210"/>
      <c r="P1788" s="197">
        <f>AJ1788*AK1788</f>
        <v>4759.8720947314359</v>
      </c>
      <c r="V1788" s="190"/>
      <c r="W1788" s="191"/>
      <c r="AB1788" s="191" t="s">
        <v>63</v>
      </c>
      <c r="AD1788" s="191"/>
      <c r="AF1788" s="191"/>
      <c r="AJ1788" s="189">
        <v>2.8622201411493902</v>
      </c>
      <c r="AK1788" s="198">
        <v>1663</v>
      </c>
    </row>
    <row r="1789" spans="1:37" s="189" customFormat="1" ht="12" customHeight="1" x14ac:dyDescent="0.2">
      <c r="A1789" s="192">
        <v>426</v>
      </c>
      <c r="B1789" s="193" t="s">
        <v>559</v>
      </c>
      <c r="C1789" s="194" t="s">
        <v>560</v>
      </c>
      <c r="D1789" s="194"/>
      <c r="E1789" s="194"/>
      <c r="F1789" s="232"/>
      <c r="G1789" s="232"/>
      <c r="H1789" s="195" t="s">
        <v>553</v>
      </c>
      <c r="I1789" s="195"/>
      <c r="J1789" s="195"/>
      <c r="K1789" s="195" t="s">
        <v>52</v>
      </c>
      <c r="L1789" s="196">
        <v>229.92</v>
      </c>
      <c r="M1789" s="195"/>
      <c r="N1789" s="196">
        <v>229.92</v>
      </c>
      <c r="O1789" s="195" t="s">
        <v>403</v>
      </c>
      <c r="P1789" s="197">
        <f>AJ1789*AK1789</f>
        <v>4090.1526527844544</v>
      </c>
      <c r="V1789" s="190"/>
      <c r="W1789" s="191" t="s">
        <v>560</v>
      </c>
      <c r="AB1789" s="191"/>
      <c r="AD1789" s="191"/>
      <c r="AF1789" s="191"/>
      <c r="AJ1789" s="189">
        <v>2.8622201411493902</v>
      </c>
      <c r="AK1789" s="198">
        <f>1429.014</f>
        <v>1429.0139999999999</v>
      </c>
    </row>
    <row r="1790" spans="1:37" s="189" customFormat="1" ht="12" customHeight="1" x14ac:dyDescent="0.2">
      <c r="A1790" s="192">
        <v>427</v>
      </c>
      <c r="B1790" s="193" t="s">
        <v>561</v>
      </c>
      <c r="C1790" s="194" t="s">
        <v>562</v>
      </c>
      <c r="D1790" s="194"/>
      <c r="E1790" s="194"/>
      <c r="F1790" s="232"/>
      <c r="G1790" s="232"/>
      <c r="H1790" s="195" t="s">
        <v>83</v>
      </c>
      <c r="I1790" s="195"/>
      <c r="J1790" s="195"/>
      <c r="K1790" s="195" t="s">
        <v>52</v>
      </c>
      <c r="L1790" s="196">
        <v>130.53</v>
      </c>
      <c r="M1790" s="195"/>
      <c r="N1790" s="196">
        <v>130.53</v>
      </c>
      <c r="O1790" s="195" t="s">
        <v>403</v>
      </c>
      <c r="P1790" s="215">
        <f>AJ1790*AK1790</f>
        <v>2315.5360941898566</v>
      </c>
      <c r="V1790" s="190"/>
      <c r="W1790" s="191" t="s">
        <v>562</v>
      </c>
      <c r="AB1790" s="191"/>
      <c r="AD1790" s="191"/>
      <c r="AF1790" s="191"/>
      <c r="AJ1790" s="189">
        <v>2.8622201411493902</v>
      </c>
      <c r="AK1790" s="198">
        <v>809</v>
      </c>
    </row>
    <row r="1791" spans="1:37" s="189" customFormat="1" ht="12" customHeight="1" x14ac:dyDescent="0.2">
      <c r="A1791" s="192">
        <v>428</v>
      </c>
      <c r="B1791" s="193" t="s">
        <v>563</v>
      </c>
      <c r="C1791" s="194" t="s">
        <v>564</v>
      </c>
      <c r="D1791" s="194"/>
      <c r="E1791" s="194"/>
      <c r="H1791" s="195" t="s">
        <v>75</v>
      </c>
      <c r="I1791" s="195"/>
      <c r="J1791" s="195"/>
      <c r="K1791" s="195" t="s">
        <v>397</v>
      </c>
      <c r="L1791" s="196"/>
      <c r="M1791" s="195"/>
      <c r="N1791" s="196"/>
      <c r="O1791" s="195"/>
      <c r="P1791" s="197"/>
      <c r="V1791" s="190"/>
      <c r="W1791" s="191" t="s">
        <v>564</v>
      </c>
      <c r="AB1791" s="191"/>
      <c r="AD1791" s="191"/>
      <c r="AF1791" s="191"/>
      <c r="AJ1791" s="189">
        <v>2.8622201411493902</v>
      </c>
      <c r="AK1791" s="198"/>
    </row>
    <row r="1792" spans="1:37" s="189" customFormat="1" ht="12" customHeight="1" x14ac:dyDescent="0.2">
      <c r="A1792" s="199"/>
      <c r="B1792" s="200"/>
      <c r="C1792" s="201" t="s">
        <v>386</v>
      </c>
      <c r="D1792" s="201"/>
      <c r="E1792" s="201"/>
      <c r="F1792" s="201"/>
      <c r="G1792" s="201"/>
      <c r="H1792" s="201"/>
      <c r="I1792" s="201"/>
      <c r="J1792" s="201"/>
      <c r="K1792" s="201"/>
      <c r="L1792" s="201"/>
      <c r="M1792" s="201"/>
      <c r="N1792" s="202"/>
      <c r="P1792" s="288"/>
      <c r="V1792" s="190"/>
      <c r="W1792" s="191"/>
      <c r="X1792" s="203" t="s">
        <v>386</v>
      </c>
      <c r="AB1792" s="191"/>
      <c r="AD1792" s="191"/>
      <c r="AF1792" s="191"/>
      <c r="AJ1792" s="189">
        <v>2.8622201411493902</v>
      </c>
    </row>
    <row r="1793" spans="1:63" s="189" customFormat="1" ht="12" customHeight="1" x14ac:dyDescent="0.2">
      <c r="A1793" s="204"/>
      <c r="B1793" s="205" t="s">
        <v>52</v>
      </c>
      <c r="C1793" s="201" t="s">
        <v>328</v>
      </c>
      <c r="D1793" s="201"/>
      <c r="E1793" s="201"/>
      <c r="H1793" s="206"/>
      <c r="I1793" s="206"/>
      <c r="J1793" s="206"/>
      <c r="K1793" s="206"/>
      <c r="L1793" s="207">
        <v>1620</v>
      </c>
      <c r="M1793" s="206"/>
      <c r="N1793" s="207">
        <v>16.2</v>
      </c>
      <c r="O1793" s="206" t="s">
        <v>329</v>
      </c>
      <c r="P1793" s="248">
        <f>AJ1793*AK1793</f>
        <v>1685.8476631369908</v>
      </c>
      <c r="V1793" s="190"/>
      <c r="W1793" s="191"/>
      <c r="Y1793" s="203" t="s">
        <v>328</v>
      </c>
      <c r="AB1793" s="191"/>
      <c r="AD1793" s="191"/>
      <c r="AF1793" s="191"/>
      <c r="AJ1793" s="189">
        <v>2.8622201411493902</v>
      </c>
      <c r="AK1793" s="208">
        <v>589</v>
      </c>
    </row>
    <row r="1794" spans="1:63" s="189" customFormat="1" ht="12" customHeight="1" x14ac:dyDescent="0.2">
      <c r="A1794" s="204"/>
      <c r="B1794" s="205" t="s">
        <v>64</v>
      </c>
      <c r="C1794" s="201" t="s">
        <v>344</v>
      </c>
      <c r="D1794" s="201"/>
      <c r="E1794" s="201"/>
      <c r="H1794" s="206"/>
      <c r="I1794" s="206"/>
      <c r="J1794" s="206"/>
      <c r="K1794" s="206"/>
      <c r="L1794" s="207">
        <v>7.81</v>
      </c>
      <c r="M1794" s="206"/>
      <c r="N1794" s="207">
        <v>0.08</v>
      </c>
      <c r="O1794" s="206" t="s">
        <v>345</v>
      </c>
      <c r="P1794" s="248">
        <f>AJ1794*AK1794</f>
        <v>2.8622201411493902</v>
      </c>
      <c r="V1794" s="190"/>
      <c r="W1794" s="191"/>
      <c r="Y1794" s="203" t="s">
        <v>344</v>
      </c>
      <c r="AB1794" s="191"/>
      <c r="AD1794" s="191"/>
      <c r="AF1794" s="191"/>
      <c r="AJ1794" s="189">
        <v>2.8622201411493902</v>
      </c>
      <c r="AK1794" s="208">
        <v>1</v>
      </c>
    </row>
    <row r="1795" spans="1:63" s="189" customFormat="1" ht="12" customHeight="1" x14ac:dyDescent="0.2">
      <c r="A1795" s="204"/>
      <c r="B1795" s="205" t="s">
        <v>68</v>
      </c>
      <c r="C1795" s="201" t="s">
        <v>346</v>
      </c>
      <c r="D1795" s="201"/>
      <c r="E1795" s="201"/>
      <c r="H1795" s="206"/>
      <c r="I1795" s="206"/>
      <c r="J1795" s="206"/>
      <c r="K1795" s="206"/>
      <c r="L1795" s="207">
        <v>0.91</v>
      </c>
      <c r="M1795" s="206"/>
      <c r="N1795" s="207">
        <v>0.01</v>
      </c>
      <c r="O1795" s="206" t="s">
        <v>329</v>
      </c>
      <c r="P1795" s="248"/>
      <c r="V1795" s="190"/>
      <c r="W1795" s="191"/>
      <c r="Y1795" s="203" t="s">
        <v>346</v>
      </c>
      <c r="AB1795" s="191"/>
      <c r="AD1795" s="191"/>
      <c r="AF1795" s="191"/>
      <c r="AJ1795" s="189">
        <v>2.8622201411493902</v>
      </c>
      <c r="AK1795" s="208"/>
    </row>
    <row r="1796" spans="1:63" s="189" customFormat="1" ht="12" customHeight="1" x14ac:dyDescent="0.2">
      <c r="A1796" s="204"/>
      <c r="B1796" s="205" t="s">
        <v>72</v>
      </c>
      <c r="C1796" s="201" t="s">
        <v>402</v>
      </c>
      <c r="D1796" s="201"/>
      <c r="E1796" s="201"/>
      <c r="H1796" s="206"/>
      <c r="I1796" s="206"/>
      <c r="J1796" s="206"/>
      <c r="K1796" s="206"/>
      <c r="L1796" s="207">
        <v>148.25</v>
      </c>
      <c r="M1796" s="206"/>
      <c r="N1796" s="207">
        <v>1.48</v>
      </c>
      <c r="O1796" s="206" t="s">
        <v>403</v>
      </c>
      <c r="P1796" s="248">
        <f>AJ1796*AK1796</f>
        <v>25.759981270344511</v>
      </c>
      <c r="V1796" s="190"/>
      <c r="W1796" s="191"/>
      <c r="Y1796" s="203" t="s">
        <v>402</v>
      </c>
      <c r="AB1796" s="191"/>
      <c r="AD1796" s="191"/>
      <c r="AF1796" s="191"/>
      <c r="AJ1796" s="189">
        <v>2.8622201411493902</v>
      </c>
      <c r="AK1796" s="208">
        <v>9</v>
      </c>
    </row>
    <row r="1797" spans="1:63" s="189" customFormat="1" ht="12" customHeight="1" x14ac:dyDescent="0.2">
      <c r="A1797" s="204"/>
      <c r="B1797" s="205"/>
      <c r="C1797" s="201" t="s">
        <v>330</v>
      </c>
      <c r="D1797" s="201"/>
      <c r="E1797" s="201"/>
      <c r="H1797" s="206" t="s">
        <v>331</v>
      </c>
      <c r="I1797" s="206" t="s">
        <v>565</v>
      </c>
      <c r="J1797" s="206"/>
      <c r="K1797" s="206" t="s">
        <v>64</v>
      </c>
      <c r="L1797" s="207"/>
      <c r="M1797" s="206"/>
      <c r="N1797" s="207"/>
      <c r="O1797" s="206"/>
      <c r="P1797" s="248"/>
      <c r="V1797" s="190"/>
      <c r="W1797" s="191"/>
      <c r="Z1797" s="203" t="s">
        <v>330</v>
      </c>
      <c r="AB1797" s="191"/>
      <c r="AD1797" s="191"/>
      <c r="AF1797" s="191"/>
      <c r="AJ1797" s="189">
        <v>2.8622201411493902</v>
      </c>
      <c r="AK1797" s="208"/>
    </row>
    <row r="1798" spans="1:63" s="189" customFormat="1" ht="12" customHeight="1" x14ac:dyDescent="0.2">
      <c r="A1798" s="204"/>
      <c r="B1798" s="205"/>
      <c r="C1798" s="201" t="s">
        <v>349</v>
      </c>
      <c r="D1798" s="201"/>
      <c r="E1798" s="201"/>
      <c r="F1798" s="232"/>
      <c r="G1798" s="232"/>
      <c r="H1798" s="206" t="s">
        <v>331</v>
      </c>
      <c r="I1798" s="206" t="s">
        <v>451</v>
      </c>
      <c r="J1798" s="206"/>
      <c r="K1798" s="206" t="s">
        <v>566</v>
      </c>
      <c r="L1798" s="207"/>
      <c r="M1798" s="206"/>
      <c r="N1798" s="207"/>
      <c r="O1798" s="206"/>
      <c r="P1798" s="248"/>
      <c r="V1798" s="190"/>
      <c r="W1798" s="191"/>
      <c r="Z1798" s="203" t="s">
        <v>349</v>
      </c>
      <c r="AB1798" s="191"/>
      <c r="AD1798" s="191"/>
      <c r="AF1798" s="191"/>
      <c r="AJ1798" s="189">
        <v>2.8622201411493902</v>
      </c>
      <c r="AK1798" s="208"/>
    </row>
    <row r="1799" spans="1:63" s="189" customFormat="1" ht="12" customHeight="1" x14ac:dyDescent="0.2">
      <c r="A1799" s="204"/>
      <c r="B1799" s="205"/>
      <c r="C1799" s="209" t="s">
        <v>334</v>
      </c>
      <c r="D1799" s="209"/>
      <c r="E1799" s="209"/>
      <c r="H1799" s="210"/>
      <c r="I1799" s="210"/>
      <c r="J1799" s="210"/>
      <c r="K1799" s="210"/>
      <c r="L1799" s="211">
        <v>1776.06</v>
      </c>
      <c r="M1799" s="210"/>
      <c r="N1799" s="211">
        <v>17.760000000000002</v>
      </c>
      <c r="O1799" s="210"/>
      <c r="P1799" s="197"/>
      <c r="V1799" s="190"/>
      <c r="W1799" s="191"/>
      <c r="AA1799" s="203" t="s">
        <v>334</v>
      </c>
      <c r="AB1799" s="191"/>
      <c r="AD1799" s="191"/>
      <c r="AF1799" s="191"/>
      <c r="AJ1799" s="189">
        <v>2.8622201411493902</v>
      </c>
      <c r="AK1799" s="212"/>
    </row>
    <row r="1800" spans="1:63" s="189" customFormat="1" ht="12" customHeight="1" x14ac:dyDescent="0.2">
      <c r="A1800" s="204"/>
      <c r="B1800" s="205"/>
      <c r="C1800" s="201" t="s">
        <v>57</v>
      </c>
      <c r="D1800" s="201"/>
      <c r="E1800" s="201"/>
      <c r="H1800" s="206"/>
      <c r="I1800" s="206"/>
      <c r="J1800" s="206"/>
      <c r="K1800" s="206"/>
      <c r="L1800" s="207"/>
      <c r="M1800" s="206"/>
      <c r="N1800" s="207">
        <v>16.21</v>
      </c>
      <c r="O1800" s="206"/>
      <c r="P1800" s="248">
        <f>AJ1800*AK1800</f>
        <v>1685.8476631369908</v>
      </c>
      <c r="V1800" s="190"/>
      <c r="W1800" s="191"/>
      <c r="Z1800" s="203" t="s">
        <v>57</v>
      </c>
      <c r="AB1800" s="191"/>
      <c r="AD1800" s="191"/>
      <c r="AF1800" s="191"/>
      <c r="AJ1800" s="189">
        <v>2.8622201411493902</v>
      </c>
      <c r="AK1800" s="208">
        <v>589</v>
      </c>
    </row>
    <row r="1801" spans="1:63" s="189" customFormat="1" ht="12" customHeight="1" x14ac:dyDescent="0.2">
      <c r="A1801" s="204"/>
      <c r="B1801" s="205" t="s">
        <v>549</v>
      </c>
      <c r="C1801" s="201" t="s">
        <v>226</v>
      </c>
      <c r="D1801" s="201"/>
      <c r="E1801" s="201"/>
      <c r="H1801" s="206" t="s">
        <v>60</v>
      </c>
      <c r="I1801" s="206" t="s">
        <v>381</v>
      </c>
      <c r="J1801" s="206"/>
      <c r="K1801" s="206" t="s">
        <v>381</v>
      </c>
      <c r="L1801" s="207"/>
      <c r="M1801" s="206"/>
      <c r="N1801" s="207">
        <v>16.7</v>
      </c>
      <c r="O1801" s="206"/>
      <c r="P1801" s="248">
        <f>AJ1801*AK1801</f>
        <v>1737.3676256776798</v>
      </c>
      <c r="V1801" s="190"/>
      <c r="W1801" s="191"/>
      <c r="Z1801" s="203" t="s">
        <v>226</v>
      </c>
      <c r="AB1801" s="191"/>
      <c r="AD1801" s="191"/>
      <c r="AF1801" s="191"/>
      <c r="AJ1801" s="189">
        <v>2.8622201411493902</v>
      </c>
      <c r="AK1801" s="208">
        <v>607</v>
      </c>
    </row>
    <row r="1802" spans="1:63" s="189" customFormat="1" ht="12" customHeight="1" x14ac:dyDescent="0.2">
      <c r="A1802" s="204"/>
      <c r="B1802" s="205" t="s">
        <v>550</v>
      </c>
      <c r="C1802" s="201" t="s">
        <v>228</v>
      </c>
      <c r="D1802" s="201"/>
      <c r="E1802" s="201"/>
      <c r="F1802" s="232"/>
      <c r="G1802" s="232"/>
      <c r="H1802" s="206" t="s">
        <v>60</v>
      </c>
      <c r="I1802" s="206" t="s">
        <v>257</v>
      </c>
      <c r="J1802" s="206"/>
      <c r="K1802" s="206" t="s">
        <v>257</v>
      </c>
      <c r="L1802" s="207"/>
      <c r="M1802" s="206"/>
      <c r="N1802" s="207">
        <v>8.43</v>
      </c>
      <c r="O1802" s="206"/>
      <c r="P1802" s="248">
        <f>AJ1802*AK1802</f>
        <v>875.83936319171335</v>
      </c>
      <c r="V1802" s="190"/>
      <c r="W1802" s="191"/>
      <c r="Z1802" s="203" t="s">
        <v>228</v>
      </c>
      <c r="AB1802" s="191"/>
      <c r="AD1802" s="191"/>
      <c r="AF1802" s="191"/>
      <c r="AJ1802" s="189">
        <v>2.8622201411493902</v>
      </c>
      <c r="AK1802" s="208">
        <v>306</v>
      </c>
    </row>
    <row r="1803" spans="1:63" s="189" customFormat="1" ht="12" customHeight="1" x14ac:dyDescent="0.2">
      <c r="A1803" s="213"/>
      <c r="B1803" s="214"/>
      <c r="C1803" s="194" t="s">
        <v>63</v>
      </c>
      <c r="D1803" s="194"/>
      <c r="E1803" s="194"/>
      <c r="F1803" s="232"/>
      <c r="G1803" s="232"/>
      <c r="H1803" s="195"/>
      <c r="I1803" s="195"/>
      <c r="J1803" s="195"/>
      <c r="K1803" s="195"/>
      <c r="L1803" s="196"/>
      <c r="M1803" s="195"/>
      <c r="N1803" s="196">
        <v>42.89</v>
      </c>
      <c r="O1803" s="210"/>
      <c r="P1803" s="197">
        <f>AJ1803*AK1803</f>
        <v>4397.9729800845071</v>
      </c>
      <c r="V1803" s="190"/>
      <c r="W1803" s="191"/>
      <c r="AB1803" s="191" t="s">
        <v>63</v>
      </c>
      <c r="AD1803" s="191"/>
      <c r="AF1803" s="191"/>
      <c r="AJ1803" s="189">
        <v>2.8622201411493902</v>
      </c>
      <c r="AK1803" s="198">
        <f>1512+24.56</f>
        <v>1536.56</v>
      </c>
    </row>
    <row r="1804" spans="1:63" s="189" customFormat="1" ht="12" customHeight="1" x14ac:dyDescent="0.2">
      <c r="A1804" s="192">
        <v>429</v>
      </c>
      <c r="B1804" s="193" t="s">
        <v>567</v>
      </c>
      <c r="C1804" s="194" t="s">
        <v>568</v>
      </c>
      <c r="D1804" s="194"/>
      <c r="E1804" s="194"/>
      <c r="H1804" s="195" t="s">
        <v>553</v>
      </c>
      <c r="I1804" s="195"/>
      <c r="J1804" s="195"/>
      <c r="K1804" s="195" t="s">
        <v>52</v>
      </c>
      <c r="L1804" s="196">
        <v>312.35000000000002</v>
      </c>
      <c r="M1804" s="195"/>
      <c r="N1804" s="196">
        <v>312.35000000000002</v>
      </c>
      <c r="O1804" s="195" t="s">
        <v>403</v>
      </c>
      <c r="P1804" s="197">
        <f>AJ1804*AK1804</f>
        <v>5544.1204134063692</v>
      </c>
      <c r="V1804" s="190"/>
      <c r="W1804" s="191" t="s">
        <v>568</v>
      </c>
      <c r="AB1804" s="191"/>
      <c r="AD1804" s="191"/>
      <c r="AF1804" s="191"/>
      <c r="AJ1804" s="189">
        <v>2.8622201411493902</v>
      </c>
      <c r="AK1804" s="198">
        <v>1937</v>
      </c>
    </row>
    <row r="1805" spans="1:63" s="189" customFormat="1" ht="12" customHeight="1" x14ac:dyDescent="0.2">
      <c r="A1805" s="221"/>
      <c r="B1805" s="214"/>
      <c r="C1805" s="214"/>
      <c r="D1805" s="214"/>
      <c r="E1805" s="214"/>
      <c r="F1805" s="221"/>
      <c r="G1805" s="221"/>
      <c r="H1805" s="221"/>
      <c r="I1805" s="221"/>
      <c r="J1805" s="222"/>
      <c r="K1805" s="221"/>
      <c r="L1805" s="222"/>
      <c r="M1805" s="206"/>
      <c r="N1805" s="247"/>
      <c r="P1805" s="288"/>
      <c r="V1805" s="190"/>
      <c r="W1805" s="191"/>
      <c r="AB1805" s="191"/>
      <c r="AD1805" s="191"/>
      <c r="AF1805" s="191"/>
      <c r="AJ1805" s="189">
        <v>2.8322201411493899</v>
      </c>
      <c r="AK1805" s="222"/>
    </row>
    <row r="1806" spans="1:63" s="189" customFormat="1" ht="12" customHeight="1" x14ac:dyDescent="0.2">
      <c r="B1806" s="223"/>
      <c r="C1806" s="223"/>
      <c r="D1806" s="223"/>
      <c r="E1806" s="223"/>
      <c r="F1806" s="223"/>
      <c r="G1806" s="223"/>
      <c r="H1806" s="223"/>
      <c r="I1806" s="223"/>
      <c r="J1806" s="223"/>
      <c r="K1806" s="223"/>
      <c r="L1806" s="224"/>
      <c r="M1806" s="225"/>
      <c r="N1806" s="247"/>
      <c r="P1806" s="288"/>
      <c r="AJ1806" s="189">
        <v>1.71</v>
      </c>
      <c r="AK1806" s="226"/>
    </row>
    <row r="1807" spans="1:63" s="189" customFormat="1" ht="12" customHeight="1" x14ac:dyDescent="0.2">
      <c r="A1807" s="268" t="s">
        <v>585</v>
      </c>
      <c r="B1807" s="269"/>
      <c r="C1807" s="269"/>
      <c r="D1807" s="269"/>
      <c r="E1807" s="269"/>
      <c r="F1807" s="269"/>
      <c r="G1807" s="269"/>
      <c r="H1807" s="269"/>
      <c r="I1807" s="269"/>
      <c r="J1807" s="269"/>
      <c r="K1807" s="269"/>
      <c r="L1807" s="269"/>
      <c r="M1807" s="269"/>
      <c r="N1807" s="269"/>
      <c r="O1807" s="270"/>
      <c r="P1807" s="271">
        <f>P1511+P1523+P1535+P1547+P1556+P1568+P1577+P1591+P1593+P1607+P1608+P1609+P1624+P1625+P1639+P1652+P1653+P1655+P1669+P1670+P1672+P1686+P1687+P1688+P1689+P1703+P1715+P1716+P1729+P1743+P1744+P1758+P1774+P1775+P1788+P1789+P1803+P1804</f>
        <v>292551.99576138129</v>
      </c>
      <c r="AG1807" s="191"/>
      <c r="AI1807" s="191" t="s">
        <v>569</v>
      </c>
      <c r="AJ1807" s="189">
        <f>AJ1808</f>
        <v>0</v>
      </c>
      <c r="AK1807" s="227">
        <v>2628427</v>
      </c>
    </row>
    <row r="1808" spans="1:63" s="83" customFormat="1" ht="16.5" customHeight="1" x14ac:dyDescent="0.25">
      <c r="A1808" s="253" t="s">
        <v>586</v>
      </c>
      <c r="B1808" s="254"/>
      <c r="C1808" s="254"/>
      <c r="D1808" s="254"/>
      <c r="E1808" s="254"/>
      <c r="F1808" s="254"/>
      <c r="G1808" s="254"/>
      <c r="H1808" s="254"/>
      <c r="I1808" s="254"/>
      <c r="J1808" s="254"/>
      <c r="K1808" s="254"/>
      <c r="L1808" s="254"/>
      <c r="M1808" s="254"/>
      <c r="N1808" s="254"/>
      <c r="O1808" s="254"/>
      <c r="P1808" s="255"/>
      <c r="Q1808" s="185"/>
      <c r="R1808" s="185"/>
      <c r="T1808" s="188"/>
      <c r="AB1808" s="186"/>
      <c r="AC1808" s="186"/>
      <c r="AD1808" s="186"/>
      <c r="AE1808" s="186"/>
      <c r="AF1808" s="186"/>
      <c r="AG1808" s="186"/>
      <c r="AH1808" s="186"/>
      <c r="AI1808" s="186"/>
      <c r="AJ1808" s="186"/>
      <c r="AK1808" s="186"/>
      <c r="AL1808" s="186"/>
      <c r="AM1808" s="186"/>
      <c r="AN1808" s="186"/>
      <c r="AO1808" s="186"/>
      <c r="AP1808" s="186"/>
      <c r="AQ1808" s="186"/>
      <c r="AR1808" s="186"/>
      <c r="AS1808" s="186"/>
      <c r="AT1808" s="186"/>
      <c r="AU1808" s="186"/>
      <c r="AV1808" s="186"/>
      <c r="AW1808" s="186"/>
      <c r="AX1808" s="186"/>
      <c r="AY1808" s="186"/>
      <c r="AZ1808" s="186"/>
      <c r="BA1808" s="186"/>
      <c r="BB1808" s="186"/>
      <c r="BC1808" s="186"/>
      <c r="BD1808" s="186"/>
      <c r="BE1808" s="186"/>
      <c r="BF1808" s="186"/>
      <c r="BG1808" s="186"/>
      <c r="BH1808" s="186"/>
      <c r="BI1808" s="186"/>
      <c r="BJ1808" s="186"/>
      <c r="BK1808" s="186"/>
    </row>
    <row r="1809" spans="1:23" s="82" customFormat="1" ht="17.25" customHeight="1" x14ac:dyDescent="0.25">
      <c r="A1809" s="107" t="s">
        <v>51</v>
      </c>
      <c r="B1809" s="108"/>
      <c r="C1809" s="108"/>
      <c r="D1809" s="108"/>
      <c r="E1809" s="108"/>
      <c r="F1809" s="108"/>
      <c r="G1809" s="108"/>
      <c r="H1809" s="108"/>
      <c r="I1809" s="108"/>
      <c r="J1809" s="108"/>
      <c r="K1809" s="108"/>
      <c r="L1809" s="108"/>
      <c r="M1809" s="108"/>
      <c r="N1809" s="108"/>
      <c r="O1809" s="108"/>
      <c r="P1809" s="109"/>
      <c r="T1809" s="187"/>
    </row>
    <row r="1810" spans="1:23" s="82" customFormat="1" ht="26.25" customHeight="1" x14ac:dyDescent="0.25">
      <c r="A1810" s="39" t="s">
        <v>899</v>
      </c>
      <c r="B1810" s="97" t="s">
        <v>53</v>
      </c>
      <c r="C1810" s="103" t="s">
        <v>54</v>
      </c>
      <c r="D1810" s="103"/>
      <c r="E1810" s="103"/>
      <c r="F1810" s="103"/>
      <c r="G1810" s="103"/>
      <c r="H1810" s="41" t="s">
        <v>55</v>
      </c>
      <c r="I1810" s="42">
        <v>0.1053</v>
      </c>
      <c r="J1810" s="43">
        <v>1</v>
      </c>
      <c r="K1810" s="42">
        <v>0.1053</v>
      </c>
      <c r="L1810" s="45"/>
      <c r="M1810" s="42"/>
      <c r="N1810" s="45"/>
      <c r="O1810" s="42"/>
      <c r="P1810" s="46"/>
    </row>
    <row r="1811" spans="1:23" s="82" customFormat="1" ht="17.25" customHeight="1" x14ac:dyDescent="0.25">
      <c r="A1811" s="47"/>
      <c r="B1811" s="48"/>
      <c r="C1811" s="102" t="s">
        <v>56</v>
      </c>
      <c r="D1811" s="102"/>
      <c r="E1811" s="102"/>
      <c r="F1811" s="102"/>
      <c r="G1811" s="102"/>
      <c r="H1811" s="41"/>
      <c r="I1811" s="42"/>
      <c r="J1811" s="42"/>
      <c r="K1811" s="42"/>
      <c r="L1811" s="45"/>
      <c r="M1811" s="42"/>
      <c r="N1811" s="49"/>
      <c r="O1811" s="42"/>
      <c r="P1811" s="50">
        <v>3911.5524999999998</v>
      </c>
    </row>
    <row r="1812" spans="1:23" s="82" customFormat="1" ht="17.25" customHeight="1" x14ac:dyDescent="0.25">
      <c r="A1812" s="52"/>
      <c r="B1812" s="53"/>
      <c r="C1812" s="104" t="s">
        <v>57</v>
      </c>
      <c r="D1812" s="104"/>
      <c r="E1812" s="104"/>
      <c r="F1812" s="104"/>
      <c r="G1812" s="104"/>
      <c r="H1812" s="54"/>
      <c r="I1812" s="55"/>
      <c r="J1812" s="55"/>
      <c r="K1812" s="55"/>
      <c r="L1812" s="56"/>
      <c r="M1812" s="55"/>
      <c r="N1812" s="56"/>
      <c r="O1812" s="55"/>
      <c r="P1812" s="77">
        <v>3212.3754999999996</v>
      </c>
    </row>
    <row r="1813" spans="1:23" s="82" customFormat="1" ht="13.5" customHeight="1" x14ac:dyDescent="0.25">
      <c r="A1813" s="52"/>
      <c r="B1813" s="53" t="s">
        <v>58</v>
      </c>
      <c r="C1813" s="104" t="s">
        <v>59</v>
      </c>
      <c r="D1813" s="104"/>
      <c r="E1813" s="104"/>
      <c r="F1813" s="104"/>
      <c r="G1813" s="104"/>
      <c r="H1813" s="54" t="s">
        <v>60</v>
      </c>
      <c r="I1813" s="58">
        <v>100</v>
      </c>
      <c r="J1813" s="55"/>
      <c r="K1813" s="58">
        <v>100</v>
      </c>
      <c r="L1813" s="56"/>
      <c r="M1813" s="55"/>
      <c r="N1813" s="56"/>
      <c r="O1813" s="55"/>
      <c r="P1813" s="77">
        <v>3212.3754999999996</v>
      </c>
    </row>
    <row r="1814" spans="1:23" s="82" customFormat="1" ht="15" x14ac:dyDescent="0.25">
      <c r="A1814" s="52"/>
      <c r="B1814" s="53" t="s">
        <v>61</v>
      </c>
      <c r="C1814" s="104" t="s">
        <v>62</v>
      </c>
      <c r="D1814" s="104"/>
      <c r="E1814" s="104"/>
      <c r="F1814" s="104"/>
      <c r="G1814" s="104"/>
      <c r="H1814" s="54" t="s">
        <v>60</v>
      </c>
      <c r="I1814" s="58">
        <v>49</v>
      </c>
      <c r="J1814" s="55"/>
      <c r="K1814" s="58">
        <v>49</v>
      </c>
      <c r="L1814" s="56"/>
      <c r="M1814" s="55"/>
      <c r="N1814" s="56"/>
      <c r="O1814" s="55"/>
      <c r="P1814" s="77">
        <v>1574.0624999999998</v>
      </c>
    </row>
    <row r="1815" spans="1:23" s="82" customFormat="1" ht="15" x14ac:dyDescent="0.25">
      <c r="A1815" s="59"/>
      <c r="B1815" s="98"/>
      <c r="C1815" s="102" t="s">
        <v>63</v>
      </c>
      <c r="D1815" s="102"/>
      <c r="E1815" s="102"/>
      <c r="F1815" s="102"/>
      <c r="G1815" s="102"/>
      <c r="H1815" s="41"/>
      <c r="I1815" s="42"/>
      <c r="J1815" s="42"/>
      <c r="K1815" s="42"/>
      <c r="L1815" s="45"/>
      <c r="M1815" s="42"/>
      <c r="N1815" s="49">
        <v>64479.71</v>
      </c>
      <c r="O1815" s="42"/>
      <c r="P1815" s="91">
        <v>8697.9904999999999</v>
      </c>
    </row>
    <row r="1816" spans="1:23" s="82" customFormat="1" ht="15" x14ac:dyDescent="0.25">
      <c r="A1816" s="39" t="s">
        <v>900</v>
      </c>
      <c r="B1816" s="97" t="s">
        <v>65</v>
      </c>
      <c r="C1816" s="103" t="s">
        <v>66</v>
      </c>
      <c r="D1816" s="103"/>
      <c r="E1816" s="103"/>
      <c r="F1816" s="103"/>
      <c r="G1816" s="103"/>
      <c r="H1816" s="41" t="s">
        <v>67</v>
      </c>
      <c r="I1816" s="42">
        <v>6.5805999999999996</v>
      </c>
      <c r="J1816" s="43">
        <v>1</v>
      </c>
      <c r="K1816" s="44">
        <v>6.5805999999999996</v>
      </c>
      <c r="L1816" s="61">
        <v>68.290000000000006</v>
      </c>
      <c r="M1816" s="62">
        <v>1.72</v>
      </c>
      <c r="N1816" s="61">
        <v>117.46</v>
      </c>
      <c r="O1816" s="42"/>
      <c r="P1816" s="50">
        <v>888.90885561497316</v>
      </c>
    </row>
    <row r="1817" spans="1:23" s="82" customFormat="1" ht="15" x14ac:dyDescent="0.25">
      <c r="A1817" s="59"/>
      <c r="B1817" s="98"/>
      <c r="C1817" s="102" t="s">
        <v>63</v>
      </c>
      <c r="D1817" s="102"/>
      <c r="E1817" s="102"/>
      <c r="F1817" s="102"/>
      <c r="G1817" s="102"/>
      <c r="H1817" s="41"/>
      <c r="I1817" s="42"/>
      <c r="J1817" s="42"/>
      <c r="K1817" s="42"/>
      <c r="L1817" s="45"/>
      <c r="M1817" s="42"/>
      <c r="N1817" s="45"/>
      <c r="O1817" s="42"/>
      <c r="P1817" s="50">
        <v>888.90885561497316</v>
      </c>
    </row>
    <row r="1818" spans="1:23" s="82" customFormat="1" ht="15" x14ac:dyDescent="0.25">
      <c r="A1818" s="39" t="s">
        <v>901</v>
      </c>
      <c r="B1818" s="97" t="s">
        <v>69</v>
      </c>
      <c r="C1818" s="103" t="s">
        <v>70</v>
      </c>
      <c r="D1818" s="103"/>
      <c r="E1818" s="103"/>
      <c r="F1818" s="103"/>
      <c r="G1818" s="103"/>
      <c r="H1818" s="41" t="s">
        <v>71</v>
      </c>
      <c r="I1818" s="42">
        <v>3.8709E-3</v>
      </c>
      <c r="J1818" s="43">
        <v>1</v>
      </c>
      <c r="K1818" s="64">
        <v>3.8709E-3</v>
      </c>
      <c r="L1818" s="49">
        <v>52265.82</v>
      </c>
      <c r="M1818" s="62">
        <v>1.81</v>
      </c>
      <c r="N1818" s="49">
        <v>94601.13</v>
      </c>
      <c r="O1818" s="42"/>
      <c r="P1818" s="50">
        <v>421.11849999999998</v>
      </c>
      <c r="W1818" s="184"/>
    </row>
    <row r="1819" spans="1:23" s="82" customFormat="1" ht="15" x14ac:dyDescent="0.25">
      <c r="A1819" s="59"/>
      <c r="B1819" s="98"/>
      <c r="C1819" s="102" t="s">
        <v>63</v>
      </c>
      <c r="D1819" s="102"/>
      <c r="E1819" s="102"/>
      <c r="F1819" s="102"/>
      <c r="G1819" s="102"/>
      <c r="H1819" s="41"/>
      <c r="I1819" s="42"/>
      <c r="J1819" s="42"/>
      <c r="K1819" s="42"/>
      <c r="L1819" s="45"/>
      <c r="M1819" s="42"/>
      <c r="N1819" s="45"/>
      <c r="O1819" s="42"/>
      <c r="P1819" s="50">
        <v>421.11849999999998</v>
      </c>
    </row>
    <row r="1820" spans="1:23" s="82" customFormat="1" ht="15" x14ac:dyDescent="0.25">
      <c r="A1820" s="39" t="s">
        <v>902</v>
      </c>
      <c r="B1820" s="97" t="s">
        <v>73</v>
      </c>
      <c r="C1820" s="103" t="s">
        <v>74</v>
      </c>
      <c r="D1820" s="103"/>
      <c r="E1820" s="103"/>
      <c r="F1820" s="103"/>
      <c r="G1820" s="103"/>
      <c r="H1820" s="41" t="s">
        <v>75</v>
      </c>
      <c r="I1820" s="42">
        <v>0.02</v>
      </c>
      <c r="J1820" s="43">
        <v>1</v>
      </c>
      <c r="K1820" s="62">
        <v>0.02</v>
      </c>
      <c r="L1820" s="45"/>
      <c r="M1820" s="42"/>
      <c r="N1820" s="45"/>
      <c r="O1820" s="42"/>
      <c r="P1820" s="50">
        <v>0</v>
      </c>
    </row>
    <row r="1821" spans="1:23" s="82" customFormat="1" ht="15.75" x14ac:dyDescent="0.25">
      <c r="A1821" s="47"/>
      <c r="B1821" s="48"/>
      <c r="C1821" s="102" t="s">
        <v>56</v>
      </c>
      <c r="D1821" s="102"/>
      <c r="E1821" s="102"/>
      <c r="F1821" s="102"/>
      <c r="G1821" s="102"/>
      <c r="H1821" s="41"/>
      <c r="I1821" s="42"/>
      <c r="J1821" s="42"/>
      <c r="K1821" s="42"/>
      <c r="L1821" s="45"/>
      <c r="M1821" s="42"/>
      <c r="N1821" s="49"/>
      <c r="O1821" s="42"/>
      <c r="P1821" s="50">
        <v>1555.3405</v>
      </c>
      <c r="T1821" s="142"/>
      <c r="U1821" s="143"/>
      <c r="V1821" s="143"/>
      <c r="W1821" s="143"/>
    </row>
    <row r="1822" spans="1:23" s="82" customFormat="1" ht="15" x14ac:dyDescent="0.25">
      <c r="A1822" s="52"/>
      <c r="B1822" s="53"/>
      <c r="C1822" s="104" t="s">
        <v>57</v>
      </c>
      <c r="D1822" s="104"/>
      <c r="E1822" s="104"/>
      <c r="F1822" s="104"/>
      <c r="G1822" s="104"/>
      <c r="H1822" s="54"/>
      <c r="I1822" s="55"/>
      <c r="J1822" s="55"/>
      <c r="K1822" s="55"/>
      <c r="L1822" s="56"/>
      <c r="M1822" s="55"/>
      <c r="N1822" s="56"/>
      <c r="O1822" s="55"/>
      <c r="P1822" s="77">
        <v>1555.2484999999999</v>
      </c>
    </row>
    <row r="1823" spans="1:23" s="82" customFormat="1" ht="15" x14ac:dyDescent="0.25">
      <c r="A1823" s="52"/>
      <c r="B1823" s="53" t="s">
        <v>76</v>
      </c>
      <c r="C1823" s="104" t="s">
        <v>77</v>
      </c>
      <c r="D1823" s="104"/>
      <c r="E1823" s="104"/>
      <c r="F1823" s="104"/>
      <c r="G1823" s="104"/>
      <c r="H1823" s="54" t="s">
        <v>60</v>
      </c>
      <c r="I1823" s="58">
        <v>91</v>
      </c>
      <c r="J1823" s="55"/>
      <c r="K1823" s="58">
        <v>91</v>
      </c>
      <c r="L1823" s="56"/>
      <c r="M1823" s="55"/>
      <c r="N1823" s="56"/>
      <c r="O1823" s="55"/>
      <c r="P1823" s="77">
        <v>1415.2705000000001</v>
      </c>
    </row>
    <row r="1824" spans="1:23" s="82" customFormat="1" ht="15" x14ac:dyDescent="0.25">
      <c r="A1824" s="52"/>
      <c r="B1824" s="53" t="s">
        <v>78</v>
      </c>
      <c r="C1824" s="104" t="s">
        <v>79</v>
      </c>
      <c r="D1824" s="104"/>
      <c r="E1824" s="104"/>
      <c r="F1824" s="104"/>
      <c r="G1824" s="104"/>
      <c r="H1824" s="54" t="s">
        <v>60</v>
      </c>
      <c r="I1824" s="58">
        <v>48</v>
      </c>
      <c r="J1824" s="55"/>
      <c r="K1824" s="58">
        <v>48</v>
      </c>
      <c r="L1824" s="56"/>
      <c r="M1824" s="55"/>
      <c r="N1824" s="56"/>
      <c r="O1824" s="55"/>
      <c r="P1824" s="77">
        <v>746.52249999999992</v>
      </c>
    </row>
    <row r="1825" spans="1:16" customFormat="1" ht="15" x14ac:dyDescent="0.25">
      <c r="A1825" s="59"/>
      <c r="B1825" s="98"/>
      <c r="C1825" s="102" t="s">
        <v>63</v>
      </c>
      <c r="D1825" s="102"/>
      <c r="E1825" s="102"/>
      <c r="F1825" s="102"/>
      <c r="G1825" s="102"/>
      <c r="H1825" s="41"/>
      <c r="I1825" s="42"/>
      <c r="J1825" s="42"/>
      <c r="K1825" s="42"/>
      <c r="L1825" s="45"/>
      <c r="M1825" s="42"/>
      <c r="N1825" s="49">
        <v>161614.5</v>
      </c>
      <c r="O1825" s="42"/>
      <c r="P1825" s="50">
        <v>3717.1334999999995</v>
      </c>
    </row>
    <row r="1826" spans="1:16" customFormat="1" ht="15" x14ac:dyDescent="0.25">
      <c r="A1826" s="39" t="s">
        <v>903</v>
      </c>
      <c r="B1826" s="97" t="s">
        <v>81</v>
      </c>
      <c r="C1826" s="103" t="s">
        <v>82</v>
      </c>
      <c r="D1826" s="103"/>
      <c r="E1826" s="103"/>
      <c r="F1826" s="103"/>
      <c r="G1826" s="103"/>
      <c r="H1826" s="41" t="s">
        <v>83</v>
      </c>
      <c r="I1826" s="42">
        <v>2</v>
      </c>
      <c r="J1826" s="43">
        <v>1</v>
      </c>
      <c r="K1826" s="43">
        <v>2</v>
      </c>
      <c r="L1826" s="49">
        <v>3579.75</v>
      </c>
      <c r="M1826" s="62">
        <v>1.41</v>
      </c>
      <c r="N1826" s="49">
        <v>5047.45</v>
      </c>
      <c r="O1826" s="42"/>
      <c r="P1826" s="50">
        <v>11609.134999999998</v>
      </c>
    </row>
    <row r="1827" spans="1:16" customFormat="1" ht="15" x14ac:dyDescent="0.25">
      <c r="A1827" s="59"/>
      <c r="B1827" s="98"/>
      <c r="C1827" s="102" t="s">
        <v>63</v>
      </c>
      <c r="D1827" s="102"/>
      <c r="E1827" s="102"/>
      <c r="F1827" s="102"/>
      <c r="G1827" s="102"/>
      <c r="H1827" s="41"/>
      <c r="I1827" s="42"/>
      <c r="J1827" s="42"/>
      <c r="K1827" s="42"/>
      <c r="L1827" s="45"/>
      <c r="M1827" s="42"/>
      <c r="N1827" s="45"/>
      <c r="O1827" s="42"/>
      <c r="P1827" s="50">
        <v>11609.134999999998</v>
      </c>
    </row>
    <row r="1828" spans="1:16" customFormat="1" ht="15" x14ac:dyDescent="0.25">
      <c r="A1828" s="39" t="s">
        <v>904</v>
      </c>
      <c r="B1828" s="97" t="s">
        <v>85</v>
      </c>
      <c r="C1828" s="103" t="s">
        <v>86</v>
      </c>
      <c r="D1828" s="103"/>
      <c r="E1828" s="103"/>
      <c r="F1828" s="103"/>
      <c r="G1828" s="103"/>
      <c r="H1828" s="41" t="s">
        <v>75</v>
      </c>
      <c r="I1828" s="42">
        <v>0.02</v>
      </c>
      <c r="J1828" s="43">
        <v>1</v>
      </c>
      <c r="K1828" s="62">
        <v>0.02</v>
      </c>
      <c r="L1828" s="45"/>
      <c r="M1828" s="42"/>
      <c r="N1828" s="45"/>
      <c r="O1828" s="42"/>
      <c r="P1828" s="50"/>
    </row>
    <row r="1829" spans="1:16" customFormat="1" ht="15" x14ac:dyDescent="0.25">
      <c r="A1829" s="47"/>
      <c r="B1829" s="48"/>
      <c r="C1829" s="102" t="s">
        <v>56</v>
      </c>
      <c r="D1829" s="102"/>
      <c r="E1829" s="102"/>
      <c r="F1829" s="102"/>
      <c r="G1829" s="102"/>
      <c r="H1829" s="41"/>
      <c r="I1829" s="42"/>
      <c r="J1829" s="42"/>
      <c r="K1829" s="42"/>
      <c r="L1829" s="45"/>
      <c r="M1829" s="42"/>
      <c r="N1829" s="49"/>
      <c r="O1829" s="42"/>
      <c r="P1829" s="50">
        <v>216.5795</v>
      </c>
    </row>
    <row r="1830" spans="1:16" customFormat="1" ht="15" x14ac:dyDescent="0.25">
      <c r="A1830" s="52"/>
      <c r="B1830" s="53"/>
      <c r="C1830" s="104" t="s">
        <v>57</v>
      </c>
      <c r="D1830" s="104"/>
      <c r="E1830" s="104"/>
      <c r="F1830" s="104"/>
      <c r="G1830" s="104"/>
      <c r="H1830" s="54"/>
      <c r="I1830" s="55"/>
      <c r="J1830" s="55"/>
      <c r="K1830" s="55"/>
      <c r="L1830" s="56"/>
      <c r="M1830" s="55"/>
      <c r="N1830" s="56"/>
      <c r="O1830" s="55"/>
      <c r="P1830" s="77">
        <v>216.5795</v>
      </c>
    </row>
    <row r="1831" spans="1:16" customFormat="1" ht="15" x14ac:dyDescent="0.25">
      <c r="A1831" s="52"/>
      <c r="B1831" s="53" t="s">
        <v>76</v>
      </c>
      <c r="C1831" s="104" t="s">
        <v>77</v>
      </c>
      <c r="D1831" s="104"/>
      <c r="E1831" s="104"/>
      <c r="F1831" s="104"/>
      <c r="G1831" s="104"/>
      <c r="H1831" s="54" t="s">
        <v>60</v>
      </c>
      <c r="I1831" s="58">
        <v>91</v>
      </c>
      <c r="J1831" s="55"/>
      <c r="K1831" s="58">
        <v>91</v>
      </c>
      <c r="L1831" s="56"/>
      <c r="M1831" s="55"/>
      <c r="N1831" s="56"/>
      <c r="O1831" s="55"/>
      <c r="P1831" s="77">
        <v>197.08699999999999</v>
      </c>
    </row>
    <row r="1832" spans="1:16" customFormat="1" ht="15" x14ac:dyDescent="0.25">
      <c r="A1832" s="52"/>
      <c r="B1832" s="53" t="s">
        <v>78</v>
      </c>
      <c r="C1832" s="104" t="s">
        <v>79</v>
      </c>
      <c r="D1832" s="104"/>
      <c r="E1832" s="104"/>
      <c r="F1832" s="104"/>
      <c r="G1832" s="104"/>
      <c r="H1832" s="54" t="s">
        <v>60</v>
      </c>
      <c r="I1832" s="58">
        <v>48</v>
      </c>
      <c r="J1832" s="55"/>
      <c r="K1832" s="58">
        <v>48</v>
      </c>
      <c r="L1832" s="56"/>
      <c r="M1832" s="55"/>
      <c r="N1832" s="56"/>
      <c r="O1832" s="55"/>
      <c r="P1832" s="77">
        <v>103.96</v>
      </c>
    </row>
    <row r="1833" spans="1:16" customFormat="1" ht="15" x14ac:dyDescent="0.25">
      <c r="A1833" s="59"/>
      <c r="B1833" s="98"/>
      <c r="C1833" s="102" t="s">
        <v>63</v>
      </c>
      <c r="D1833" s="102"/>
      <c r="E1833" s="102"/>
      <c r="F1833" s="102"/>
      <c r="G1833" s="102"/>
      <c r="H1833" s="41"/>
      <c r="I1833" s="42"/>
      <c r="J1833" s="42"/>
      <c r="K1833" s="42"/>
      <c r="L1833" s="45"/>
      <c r="M1833" s="42"/>
      <c r="N1833" s="49">
        <v>22505.5</v>
      </c>
      <c r="O1833" s="42"/>
      <c r="P1833" s="50">
        <v>517.62649999999996</v>
      </c>
    </row>
    <row r="1834" spans="1:16" customFormat="1" ht="15" x14ac:dyDescent="0.25">
      <c r="A1834" s="39" t="s">
        <v>905</v>
      </c>
      <c r="B1834" s="97" t="s">
        <v>88</v>
      </c>
      <c r="C1834" s="103" t="s">
        <v>89</v>
      </c>
      <c r="D1834" s="103"/>
      <c r="E1834" s="103"/>
      <c r="F1834" s="103"/>
      <c r="G1834" s="103"/>
      <c r="H1834" s="41" t="s">
        <v>83</v>
      </c>
      <c r="I1834" s="42">
        <v>2</v>
      </c>
      <c r="J1834" s="43">
        <v>1</v>
      </c>
      <c r="K1834" s="43">
        <v>2</v>
      </c>
      <c r="L1834" s="61">
        <v>42.54</v>
      </c>
      <c r="M1834" s="62">
        <v>1.42</v>
      </c>
      <c r="N1834" s="61">
        <v>60.41</v>
      </c>
      <c r="O1834" s="42"/>
      <c r="P1834" s="50">
        <v>138.94299999999998</v>
      </c>
    </row>
    <row r="1835" spans="1:16" customFormat="1" ht="15" x14ac:dyDescent="0.25">
      <c r="A1835" s="59"/>
      <c r="B1835" s="98"/>
      <c r="C1835" s="102" t="s">
        <v>63</v>
      </c>
      <c r="D1835" s="102"/>
      <c r="E1835" s="102"/>
      <c r="F1835" s="102"/>
      <c r="G1835" s="102"/>
      <c r="H1835" s="41"/>
      <c r="I1835" s="42"/>
      <c r="J1835" s="42"/>
      <c r="K1835" s="42"/>
      <c r="L1835" s="45"/>
      <c r="M1835" s="42"/>
      <c r="N1835" s="45"/>
      <c r="O1835" s="42"/>
      <c r="P1835" s="50">
        <v>138.94299999999998</v>
      </c>
    </row>
    <row r="1836" spans="1:16" customFormat="1" ht="15" x14ac:dyDescent="0.25">
      <c r="A1836" s="39" t="s">
        <v>906</v>
      </c>
      <c r="B1836" s="97" t="s">
        <v>91</v>
      </c>
      <c r="C1836" s="103" t="s">
        <v>92</v>
      </c>
      <c r="D1836" s="103"/>
      <c r="E1836" s="103"/>
      <c r="F1836" s="103"/>
      <c r="G1836" s="103"/>
      <c r="H1836" s="41" t="s">
        <v>93</v>
      </c>
      <c r="I1836" s="42">
        <v>2E-3</v>
      </c>
      <c r="J1836" s="43">
        <v>1</v>
      </c>
      <c r="K1836" s="66">
        <v>2E-3</v>
      </c>
      <c r="L1836" s="49">
        <v>7782.25</v>
      </c>
      <c r="M1836" s="62">
        <v>0.85</v>
      </c>
      <c r="N1836" s="49">
        <v>6614.91</v>
      </c>
      <c r="O1836" s="42"/>
      <c r="P1836" s="50">
        <v>15.214499999999999</v>
      </c>
    </row>
    <row r="1837" spans="1:16" customFormat="1" ht="15" x14ac:dyDescent="0.25">
      <c r="A1837" s="59"/>
      <c r="B1837" s="98"/>
      <c r="C1837" s="102" t="s">
        <v>63</v>
      </c>
      <c r="D1837" s="102"/>
      <c r="E1837" s="102"/>
      <c r="F1837" s="102"/>
      <c r="G1837" s="102"/>
      <c r="H1837" s="41"/>
      <c r="I1837" s="42"/>
      <c r="J1837" s="42"/>
      <c r="K1837" s="42"/>
      <c r="L1837" s="45"/>
      <c r="M1837" s="42"/>
      <c r="N1837" s="45"/>
      <c r="O1837" s="42"/>
      <c r="P1837" s="50">
        <v>15.214499999999999</v>
      </c>
    </row>
    <row r="1838" spans="1:16" customFormat="1" ht="15" x14ac:dyDescent="0.25">
      <c r="A1838" s="107" t="s">
        <v>94</v>
      </c>
      <c r="B1838" s="108"/>
      <c r="C1838" s="108"/>
      <c r="D1838" s="108"/>
      <c r="E1838" s="108"/>
      <c r="F1838" s="108"/>
      <c r="G1838" s="108"/>
      <c r="H1838" s="108"/>
      <c r="I1838" s="108"/>
      <c r="J1838" s="108"/>
      <c r="K1838" s="108"/>
      <c r="L1838" s="108"/>
      <c r="M1838" s="108"/>
      <c r="N1838" s="108"/>
      <c r="O1838" s="108"/>
      <c r="P1838" s="109"/>
    </row>
    <row r="1839" spans="1:16" customFormat="1" ht="15" x14ac:dyDescent="0.25">
      <c r="A1839" s="39" t="s">
        <v>907</v>
      </c>
      <c r="B1839" s="97" t="s">
        <v>96</v>
      </c>
      <c r="C1839" s="105" t="s">
        <v>308</v>
      </c>
      <c r="D1839" s="105"/>
      <c r="E1839" s="105"/>
      <c r="F1839" s="105"/>
      <c r="G1839" s="105"/>
      <c r="H1839" s="41" t="s">
        <v>55</v>
      </c>
      <c r="I1839" s="44">
        <v>1.5599999999999999E-2</v>
      </c>
      <c r="J1839" s="43">
        <v>1</v>
      </c>
      <c r="K1839" s="44">
        <f>I1839</f>
        <v>1.5599999999999999E-2</v>
      </c>
      <c r="L1839" s="45"/>
      <c r="M1839" s="42"/>
      <c r="N1839" s="45"/>
      <c r="O1839" s="42"/>
      <c r="P1839" s="46"/>
    </row>
    <row r="1840" spans="1:16" customFormat="1" ht="15" x14ac:dyDescent="0.25">
      <c r="A1840" s="47"/>
      <c r="B1840" s="48"/>
      <c r="C1840" s="106" t="s">
        <v>56</v>
      </c>
      <c r="D1840" s="106"/>
      <c r="E1840" s="106"/>
      <c r="F1840" s="106"/>
      <c r="G1840" s="106"/>
      <c r="H1840" s="41"/>
      <c r="I1840" s="42"/>
      <c r="J1840" s="42"/>
      <c r="K1840" s="42"/>
      <c r="L1840" s="45"/>
      <c r="M1840" s="42"/>
      <c r="N1840" s="49"/>
      <c r="O1840" s="42"/>
      <c r="P1840" s="50">
        <v>1167.204</v>
      </c>
    </row>
    <row r="1841" spans="1:16" customFormat="1" ht="15" x14ac:dyDescent="0.25">
      <c r="A1841" s="52"/>
      <c r="B1841" s="53"/>
      <c r="C1841" s="110" t="s">
        <v>57</v>
      </c>
      <c r="D1841" s="110"/>
      <c r="E1841" s="110"/>
      <c r="F1841" s="110"/>
      <c r="G1841" s="110"/>
      <c r="H1841" s="54"/>
      <c r="I1841" s="55"/>
      <c r="J1841" s="55"/>
      <c r="K1841" s="55"/>
      <c r="L1841" s="56"/>
      <c r="M1841" s="55"/>
      <c r="N1841" s="56"/>
      <c r="O1841" s="55"/>
      <c r="P1841" s="77">
        <v>718.45099999999991</v>
      </c>
    </row>
    <row r="1842" spans="1:16" customFormat="1" ht="15" x14ac:dyDescent="0.25">
      <c r="A1842" s="52"/>
      <c r="B1842" s="53" t="s">
        <v>98</v>
      </c>
      <c r="C1842" s="110" t="s">
        <v>99</v>
      </c>
      <c r="D1842" s="110"/>
      <c r="E1842" s="110"/>
      <c r="F1842" s="110"/>
      <c r="G1842" s="110"/>
      <c r="H1842" s="54" t="s">
        <v>60</v>
      </c>
      <c r="I1842" s="58">
        <v>108</v>
      </c>
      <c r="J1842" s="55"/>
      <c r="K1842" s="58">
        <v>108</v>
      </c>
      <c r="L1842" s="56"/>
      <c r="M1842" s="55"/>
      <c r="N1842" s="56"/>
      <c r="O1842" s="55"/>
      <c r="P1842" s="77">
        <v>775.928</v>
      </c>
    </row>
    <row r="1843" spans="1:16" customFormat="1" ht="15" x14ac:dyDescent="0.25">
      <c r="A1843" s="52"/>
      <c r="B1843" s="53" t="s">
        <v>100</v>
      </c>
      <c r="C1843" s="110" t="s">
        <v>101</v>
      </c>
      <c r="D1843" s="110"/>
      <c r="E1843" s="110"/>
      <c r="F1843" s="110"/>
      <c r="G1843" s="110"/>
      <c r="H1843" s="54" t="s">
        <v>60</v>
      </c>
      <c r="I1843" s="58">
        <v>55</v>
      </c>
      <c r="J1843" s="55"/>
      <c r="K1843" s="58">
        <v>55</v>
      </c>
      <c r="L1843" s="56"/>
      <c r="M1843" s="55"/>
      <c r="N1843" s="56"/>
      <c r="O1843" s="55"/>
      <c r="P1843" s="77">
        <v>395.1515</v>
      </c>
    </row>
    <row r="1844" spans="1:16" customFormat="1" ht="15" x14ac:dyDescent="0.25">
      <c r="A1844" s="59"/>
      <c r="B1844" s="98"/>
      <c r="C1844" s="106" t="s">
        <v>63</v>
      </c>
      <c r="D1844" s="106"/>
      <c r="E1844" s="106"/>
      <c r="F1844" s="106"/>
      <c r="G1844" s="106"/>
      <c r="H1844" s="41"/>
      <c r="I1844" s="42"/>
      <c r="J1844" s="42"/>
      <c r="K1844" s="42"/>
      <c r="L1844" s="45"/>
      <c r="M1844" s="42"/>
      <c r="N1844" s="49">
        <v>101664.5</v>
      </c>
      <c r="O1844" s="42"/>
      <c r="P1844" s="50">
        <v>3215.8765599999997</v>
      </c>
    </row>
    <row r="1845" spans="1:16" customFormat="1" ht="15" x14ac:dyDescent="0.25">
      <c r="A1845" s="39" t="s">
        <v>908</v>
      </c>
      <c r="B1845" s="97" t="s">
        <v>103</v>
      </c>
      <c r="C1845" s="105" t="s">
        <v>309</v>
      </c>
      <c r="D1845" s="105"/>
      <c r="E1845" s="105"/>
      <c r="F1845" s="105"/>
      <c r="G1845" s="105"/>
      <c r="H1845" s="41" t="s">
        <v>83</v>
      </c>
      <c r="I1845" s="42">
        <v>14</v>
      </c>
      <c r="J1845" s="43">
        <v>1</v>
      </c>
      <c r="K1845" s="67">
        <v>14</v>
      </c>
      <c r="L1845" s="61">
        <v>92.12</v>
      </c>
      <c r="M1845" s="62">
        <v>1.48</v>
      </c>
      <c r="N1845" s="61">
        <v>136.34</v>
      </c>
      <c r="O1845" s="42"/>
      <c r="P1845" s="50">
        <v>2453.9727333333335</v>
      </c>
    </row>
    <row r="1846" spans="1:16" customFormat="1" ht="15" x14ac:dyDescent="0.25">
      <c r="A1846" s="59"/>
      <c r="B1846" s="98"/>
      <c r="C1846" s="102" t="s">
        <v>63</v>
      </c>
      <c r="D1846" s="102"/>
      <c r="E1846" s="102"/>
      <c r="F1846" s="102"/>
      <c r="G1846" s="102"/>
      <c r="H1846" s="41"/>
      <c r="I1846" s="42"/>
      <c r="J1846" s="42"/>
      <c r="K1846" s="42"/>
      <c r="L1846" s="45"/>
      <c r="M1846" s="42"/>
      <c r="N1846" s="45"/>
      <c r="O1846" s="42"/>
      <c r="P1846" s="50">
        <v>2453.9727333333335</v>
      </c>
    </row>
    <row r="1847" spans="1:16" customFormat="1" ht="15" x14ac:dyDescent="0.25">
      <c r="A1847" s="39" t="s">
        <v>909</v>
      </c>
      <c r="B1847" s="97" t="s">
        <v>107</v>
      </c>
      <c r="C1847" s="103" t="s">
        <v>108</v>
      </c>
      <c r="D1847" s="103"/>
      <c r="E1847" s="103"/>
      <c r="F1847" s="103"/>
      <c r="G1847" s="103"/>
      <c r="H1847" s="41" t="s">
        <v>55</v>
      </c>
      <c r="I1847" s="42">
        <v>0.3624</v>
      </c>
      <c r="J1847" s="43">
        <v>1</v>
      </c>
      <c r="K1847" s="44">
        <v>0.3624</v>
      </c>
      <c r="L1847" s="45"/>
      <c r="M1847" s="42"/>
      <c r="N1847" s="45"/>
      <c r="O1847" s="42"/>
      <c r="P1847" s="50"/>
    </row>
    <row r="1848" spans="1:16" customFormat="1" ht="15" x14ac:dyDescent="0.25">
      <c r="A1848" s="47"/>
      <c r="B1848" s="48"/>
      <c r="C1848" s="102" t="s">
        <v>56</v>
      </c>
      <c r="D1848" s="102"/>
      <c r="E1848" s="102"/>
      <c r="F1848" s="102"/>
      <c r="G1848" s="102"/>
      <c r="H1848" s="41"/>
      <c r="I1848" s="42"/>
      <c r="J1848" s="42"/>
      <c r="K1848" s="42"/>
      <c r="L1848" s="45"/>
      <c r="M1848" s="42"/>
      <c r="N1848" s="49"/>
      <c r="O1848" s="42"/>
      <c r="P1848" s="50">
        <v>305.78499999999997</v>
      </c>
    </row>
    <row r="1849" spans="1:16" ht="11.25" customHeight="1" x14ac:dyDescent="0.2">
      <c r="A1849" s="52"/>
      <c r="B1849" s="53"/>
      <c r="C1849" s="104" t="s">
        <v>57</v>
      </c>
      <c r="D1849" s="104"/>
      <c r="E1849" s="104"/>
      <c r="F1849" s="104"/>
      <c r="G1849" s="104"/>
      <c r="H1849" s="54"/>
      <c r="I1849" s="55"/>
      <c r="J1849" s="55"/>
      <c r="K1849" s="55"/>
      <c r="L1849" s="56"/>
      <c r="M1849" s="55"/>
      <c r="N1849" s="56"/>
      <c r="O1849" s="55"/>
      <c r="P1849" s="77">
        <v>303.11699999999996</v>
      </c>
    </row>
    <row r="1850" spans="1:16" ht="11.25" customHeight="1" x14ac:dyDescent="0.2">
      <c r="A1850" s="52"/>
      <c r="B1850" s="53" t="s">
        <v>58</v>
      </c>
      <c r="C1850" s="104" t="s">
        <v>59</v>
      </c>
      <c r="D1850" s="104"/>
      <c r="E1850" s="104"/>
      <c r="F1850" s="104"/>
      <c r="G1850" s="104"/>
      <c r="H1850" s="54" t="s">
        <v>60</v>
      </c>
      <c r="I1850" s="58">
        <v>100</v>
      </c>
      <c r="J1850" s="55"/>
      <c r="K1850" s="58">
        <v>100</v>
      </c>
      <c r="L1850" s="56"/>
      <c r="M1850" s="55"/>
      <c r="N1850" s="56"/>
      <c r="O1850" s="55"/>
      <c r="P1850" s="77">
        <v>303.11699999999996</v>
      </c>
    </row>
    <row r="1851" spans="1:16" ht="11.25" customHeight="1" x14ac:dyDescent="0.2">
      <c r="A1851" s="52"/>
      <c r="B1851" s="53" t="s">
        <v>61</v>
      </c>
      <c r="C1851" s="104" t="s">
        <v>62</v>
      </c>
      <c r="D1851" s="104"/>
      <c r="E1851" s="104"/>
      <c r="F1851" s="104"/>
      <c r="G1851" s="104"/>
      <c r="H1851" s="54" t="s">
        <v>60</v>
      </c>
      <c r="I1851" s="58">
        <v>49</v>
      </c>
      <c r="J1851" s="55"/>
      <c r="K1851" s="58">
        <v>49</v>
      </c>
      <c r="L1851" s="56"/>
      <c r="M1851" s="55"/>
      <c r="N1851" s="56"/>
      <c r="O1851" s="55"/>
      <c r="P1851" s="77">
        <v>148.52250000000001</v>
      </c>
    </row>
    <row r="1852" spans="1:16" ht="11.25" customHeight="1" x14ac:dyDescent="0.2">
      <c r="A1852" s="59"/>
      <c r="B1852" s="98"/>
      <c r="C1852" s="102" t="s">
        <v>63</v>
      </c>
      <c r="D1852" s="102"/>
      <c r="E1852" s="102"/>
      <c r="F1852" s="102"/>
      <c r="G1852" s="102"/>
      <c r="H1852" s="41"/>
      <c r="I1852" s="42"/>
      <c r="J1852" s="42"/>
      <c r="K1852" s="42"/>
      <c r="L1852" s="45"/>
      <c r="M1852" s="42"/>
      <c r="N1852" s="49">
        <v>4828.67</v>
      </c>
      <c r="O1852" s="42"/>
      <c r="P1852" s="50">
        <v>2012.3947126099706</v>
      </c>
    </row>
    <row r="1853" spans="1:16" ht="11.25" customHeight="1" x14ac:dyDescent="0.2">
      <c r="A1853" s="39" t="s">
        <v>910</v>
      </c>
      <c r="B1853" s="97" t="s">
        <v>110</v>
      </c>
      <c r="C1853" s="103" t="s">
        <v>111</v>
      </c>
      <c r="D1853" s="103"/>
      <c r="E1853" s="103"/>
      <c r="F1853" s="103"/>
      <c r="G1853" s="103"/>
      <c r="H1853" s="41" t="s">
        <v>67</v>
      </c>
      <c r="I1853" s="42">
        <v>6.4</v>
      </c>
      <c r="J1853" s="43">
        <v>1</v>
      </c>
      <c r="K1853" s="44">
        <v>6.4</v>
      </c>
      <c r="L1853" s="61">
        <v>65.84</v>
      </c>
      <c r="M1853" s="67">
        <v>1.2</v>
      </c>
      <c r="N1853" s="61">
        <v>79.010000000000005</v>
      </c>
      <c r="O1853" s="42"/>
      <c r="P1853" s="50">
        <v>581.50758061071951</v>
      </c>
    </row>
    <row r="1854" spans="1:16" ht="11.25" customHeight="1" x14ac:dyDescent="0.2">
      <c r="A1854" s="59"/>
      <c r="B1854" s="98"/>
      <c r="C1854" s="102" t="s">
        <v>63</v>
      </c>
      <c r="D1854" s="102"/>
      <c r="E1854" s="102"/>
      <c r="F1854" s="102"/>
      <c r="G1854" s="102"/>
      <c r="H1854" s="41"/>
      <c r="I1854" s="42"/>
      <c r="J1854" s="42"/>
      <c r="K1854" s="42"/>
      <c r="L1854" s="45"/>
      <c r="M1854" s="42"/>
      <c r="N1854" s="45"/>
      <c r="O1854" s="42"/>
      <c r="P1854" s="50">
        <v>581.50758061071951</v>
      </c>
    </row>
    <row r="1855" spans="1:16" ht="11.25" customHeight="1" x14ac:dyDescent="0.2">
      <c r="A1855" s="39" t="s">
        <v>911</v>
      </c>
      <c r="B1855" s="97" t="s">
        <v>113</v>
      </c>
      <c r="C1855" s="103" t="s">
        <v>114</v>
      </c>
      <c r="D1855" s="103"/>
      <c r="E1855" s="103"/>
      <c r="F1855" s="103"/>
      <c r="G1855" s="103"/>
      <c r="H1855" s="41" t="s">
        <v>55</v>
      </c>
      <c r="I1855" s="42">
        <v>0.3624</v>
      </c>
      <c r="J1855" s="43">
        <v>1</v>
      </c>
      <c r="K1855" s="44">
        <v>0.3624</v>
      </c>
      <c r="L1855" s="45"/>
      <c r="M1855" s="42"/>
      <c r="N1855" s="45"/>
      <c r="O1855" s="42"/>
      <c r="P1855" s="50"/>
    </row>
    <row r="1856" spans="1:16" ht="11.25" customHeight="1" x14ac:dyDescent="0.2">
      <c r="A1856" s="47"/>
      <c r="B1856" s="48"/>
      <c r="C1856" s="102" t="s">
        <v>56</v>
      </c>
      <c r="D1856" s="102"/>
      <c r="E1856" s="102"/>
      <c r="F1856" s="102"/>
      <c r="G1856" s="102"/>
      <c r="H1856" s="41"/>
      <c r="I1856" s="42"/>
      <c r="J1856" s="42"/>
      <c r="K1856" s="42"/>
      <c r="L1856" s="45"/>
      <c r="M1856" s="42"/>
      <c r="N1856" s="49"/>
      <c r="O1856" s="42"/>
      <c r="P1856" s="50">
        <v>1936.8874999999998</v>
      </c>
    </row>
    <row r="1857" spans="1:16" ht="11.25" customHeight="1" x14ac:dyDescent="0.2">
      <c r="A1857" s="52"/>
      <c r="B1857" s="53"/>
      <c r="C1857" s="104" t="s">
        <v>57</v>
      </c>
      <c r="D1857" s="104"/>
      <c r="E1857" s="104"/>
      <c r="F1857" s="104"/>
      <c r="G1857" s="104"/>
      <c r="H1857" s="54"/>
      <c r="I1857" s="55"/>
      <c r="J1857" s="55"/>
      <c r="K1857" s="55"/>
      <c r="L1857" s="56"/>
      <c r="M1857" s="55"/>
      <c r="N1857" s="56"/>
      <c r="O1857" s="55"/>
      <c r="P1857" s="77">
        <v>1927.2504999999996</v>
      </c>
    </row>
    <row r="1858" spans="1:16" ht="11.25" customHeight="1" x14ac:dyDescent="0.2">
      <c r="A1858" s="52"/>
      <c r="B1858" s="53" t="s">
        <v>58</v>
      </c>
      <c r="C1858" s="104" t="s">
        <v>59</v>
      </c>
      <c r="D1858" s="104"/>
      <c r="E1858" s="104"/>
      <c r="F1858" s="104"/>
      <c r="G1858" s="104"/>
      <c r="H1858" s="54" t="s">
        <v>60</v>
      </c>
      <c r="I1858" s="58">
        <v>100</v>
      </c>
      <c r="J1858" s="55"/>
      <c r="K1858" s="58">
        <v>100</v>
      </c>
      <c r="L1858" s="56"/>
      <c r="M1858" s="55"/>
      <c r="N1858" s="56"/>
      <c r="O1858" s="55"/>
      <c r="P1858" s="77">
        <v>1927.2504999999996</v>
      </c>
    </row>
    <row r="1859" spans="1:16" ht="11.25" customHeight="1" x14ac:dyDescent="0.2">
      <c r="A1859" s="52"/>
      <c r="B1859" s="53" t="s">
        <v>61</v>
      </c>
      <c r="C1859" s="104" t="s">
        <v>62</v>
      </c>
      <c r="D1859" s="104"/>
      <c r="E1859" s="104"/>
      <c r="F1859" s="104"/>
      <c r="G1859" s="104"/>
      <c r="H1859" s="54" t="s">
        <v>60</v>
      </c>
      <c r="I1859" s="58">
        <v>49</v>
      </c>
      <c r="J1859" s="55"/>
      <c r="K1859" s="58">
        <v>49</v>
      </c>
      <c r="L1859" s="56"/>
      <c r="M1859" s="55"/>
      <c r="N1859" s="56"/>
      <c r="O1859" s="55"/>
      <c r="P1859" s="77">
        <v>944.35699999999986</v>
      </c>
    </row>
    <row r="1860" spans="1:16" ht="11.25" customHeight="1" x14ac:dyDescent="0.2">
      <c r="A1860" s="59"/>
      <c r="B1860" s="98"/>
      <c r="C1860" s="102" t="s">
        <v>63</v>
      </c>
      <c r="D1860" s="102"/>
      <c r="E1860" s="102"/>
      <c r="F1860" s="102"/>
      <c r="G1860" s="102"/>
      <c r="H1860" s="41"/>
      <c r="I1860" s="42"/>
      <c r="J1860" s="42"/>
      <c r="K1860" s="42"/>
      <c r="L1860" s="45"/>
      <c r="M1860" s="42"/>
      <c r="N1860" s="49">
        <v>30654.69</v>
      </c>
      <c r="O1860" s="42"/>
      <c r="P1860" s="50">
        <v>15831.074692082113</v>
      </c>
    </row>
    <row r="1861" spans="1:16" ht="11.25" customHeight="1" x14ac:dyDescent="0.2">
      <c r="A1861" s="39" t="s">
        <v>912</v>
      </c>
      <c r="B1861" s="97" t="s">
        <v>116</v>
      </c>
      <c r="C1861" s="103" t="s">
        <v>117</v>
      </c>
      <c r="D1861" s="103"/>
      <c r="E1861" s="103"/>
      <c r="F1861" s="103"/>
      <c r="G1861" s="103"/>
      <c r="H1861" s="41" t="s">
        <v>67</v>
      </c>
      <c r="I1861" s="42">
        <f>115.94*4</f>
        <v>463.76</v>
      </c>
      <c r="J1861" s="43">
        <v>1</v>
      </c>
      <c r="K1861" s="62">
        <v>463.76</v>
      </c>
      <c r="L1861" s="61">
        <v>17.34</v>
      </c>
      <c r="M1861" s="62">
        <v>1.42</v>
      </c>
      <c r="N1861" s="61">
        <v>24.62</v>
      </c>
      <c r="O1861" s="42"/>
      <c r="P1861" s="50">
        <v>13130.423999999999</v>
      </c>
    </row>
    <row r="1862" spans="1:16" ht="11.25" customHeight="1" x14ac:dyDescent="0.2">
      <c r="A1862" s="59"/>
      <c r="B1862" s="98"/>
      <c r="C1862" s="102" t="s">
        <v>63</v>
      </c>
      <c r="D1862" s="102"/>
      <c r="E1862" s="102"/>
      <c r="F1862" s="102"/>
      <c r="G1862" s="102"/>
      <c r="H1862" s="41"/>
      <c r="I1862" s="42"/>
      <c r="J1862" s="42"/>
      <c r="K1862" s="42"/>
      <c r="L1862" s="45"/>
      <c r="M1862" s="42"/>
      <c r="N1862" s="45"/>
      <c r="O1862" s="42"/>
      <c r="P1862" s="50">
        <v>13130.423999999999</v>
      </c>
    </row>
    <row r="1863" spans="1:16" ht="11.25" customHeight="1" x14ac:dyDescent="0.2">
      <c r="A1863" s="39" t="s">
        <v>913</v>
      </c>
      <c r="B1863" s="97" t="s">
        <v>119</v>
      </c>
      <c r="C1863" s="103" t="s">
        <v>120</v>
      </c>
      <c r="D1863" s="103"/>
      <c r="E1863" s="103"/>
      <c r="F1863" s="103"/>
      <c r="G1863" s="103"/>
      <c r="H1863" s="41" t="s">
        <v>105</v>
      </c>
      <c r="I1863" s="42">
        <f>1*4.3*2+3</f>
        <v>11.6</v>
      </c>
      <c r="J1863" s="43">
        <v>1</v>
      </c>
      <c r="K1863" s="44">
        <v>11.6</v>
      </c>
      <c r="L1863" s="61">
        <v>50.99</v>
      </c>
      <c r="M1863" s="62">
        <v>1.1599999999999999</v>
      </c>
      <c r="N1863" s="61">
        <v>59.15</v>
      </c>
      <c r="O1863" s="42"/>
      <c r="P1863" s="50">
        <v>789.05896728192738</v>
      </c>
    </row>
    <row r="1864" spans="1:16" ht="11.25" customHeight="1" x14ac:dyDescent="0.2">
      <c r="A1864" s="59"/>
      <c r="B1864" s="98"/>
      <c r="C1864" s="102" t="s">
        <v>63</v>
      </c>
      <c r="D1864" s="102"/>
      <c r="E1864" s="102"/>
      <c r="F1864" s="102"/>
      <c r="G1864" s="102"/>
      <c r="H1864" s="41"/>
      <c r="I1864" s="42"/>
      <c r="J1864" s="42"/>
      <c r="K1864" s="42"/>
      <c r="L1864" s="45"/>
      <c r="M1864" s="42"/>
      <c r="N1864" s="45"/>
      <c r="O1864" s="42"/>
      <c r="P1864" s="50">
        <v>789.05896728192738</v>
      </c>
    </row>
    <row r="1865" spans="1:16" ht="11.25" customHeight="1" x14ac:dyDescent="0.2">
      <c r="A1865" s="39" t="s">
        <v>914</v>
      </c>
      <c r="B1865" s="97" t="s">
        <v>110</v>
      </c>
      <c r="C1865" s="103" t="s">
        <v>111</v>
      </c>
      <c r="D1865" s="103"/>
      <c r="E1865" s="103"/>
      <c r="F1865" s="103"/>
      <c r="G1865" s="103"/>
      <c r="H1865" s="41" t="s">
        <v>67</v>
      </c>
      <c r="I1865" s="42">
        <v>2.7280000000000002</v>
      </c>
      <c r="J1865" s="43">
        <v>1</v>
      </c>
      <c r="K1865" s="66">
        <v>2.7280000000000002</v>
      </c>
      <c r="L1865" s="61">
        <v>65.84</v>
      </c>
      <c r="M1865" s="67">
        <v>1.2</v>
      </c>
      <c r="N1865" s="61">
        <v>79.010000000000005</v>
      </c>
      <c r="O1865" s="42"/>
      <c r="P1865" s="50">
        <v>247.87099999999998</v>
      </c>
    </row>
    <row r="1866" spans="1:16" ht="11.25" customHeight="1" x14ac:dyDescent="0.2">
      <c r="A1866" s="59"/>
      <c r="B1866" s="98"/>
      <c r="C1866" s="102" t="s">
        <v>63</v>
      </c>
      <c r="D1866" s="102"/>
      <c r="E1866" s="102"/>
      <c r="F1866" s="102"/>
      <c r="G1866" s="102"/>
      <c r="H1866" s="41"/>
      <c r="I1866" s="42"/>
      <c r="J1866" s="42"/>
      <c r="K1866" s="42"/>
      <c r="L1866" s="45"/>
      <c r="M1866" s="42"/>
      <c r="N1866" s="45"/>
      <c r="O1866" s="42"/>
      <c r="P1866" s="50">
        <v>247.87099999999998</v>
      </c>
    </row>
    <row r="1867" spans="1:16" ht="11.25" customHeight="1" x14ac:dyDescent="0.2">
      <c r="A1867" s="39" t="s">
        <v>915</v>
      </c>
      <c r="B1867" s="97" t="s">
        <v>123</v>
      </c>
      <c r="C1867" s="103" t="s">
        <v>124</v>
      </c>
      <c r="D1867" s="103"/>
      <c r="E1867" s="103"/>
      <c r="F1867" s="103"/>
      <c r="G1867" s="103"/>
      <c r="H1867" s="41" t="s">
        <v>125</v>
      </c>
      <c r="I1867" s="42">
        <v>0.27</v>
      </c>
      <c r="J1867" s="43">
        <v>1</v>
      </c>
      <c r="K1867" s="62">
        <v>0.27</v>
      </c>
      <c r="L1867" s="45"/>
      <c r="M1867" s="42"/>
      <c r="N1867" s="45"/>
      <c r="O1867" s="42"/>
      <c r="P1867" s="50"/>
    </row>
    <row r="1868" spans="1:16" ht="11.25" customHeight="1" x14ac:dyDescent="0.2">
      <c r="A1868" s="47"/>
      <c r="B1868" s="48"/>
      <c r="C1868" s="102" t="s">
        <v>56</v>
      </c>
      <c r="D1868" s="102"/>
      <c r="E1868" s="102"/>
      <c r="F1868" s="102"/>
      <c r="G1868" s="102"/>
      <c r="H1868" s="41"/>
      <c r="I1868" s="42"/>
      <c r="J1868" s="42"/>
      <c r="K1868" s="42"/>
      <c r="L1868" s="45"/>
      <c r="M1868" s="42"/>
      <c r="N1868" s="49"/>
      <c r="O1868" s="42"/>
      <c r="P1868" s="50">
        <v>844.41049999999996</v>
      </c>
    </row>
    <row r="1869" spans="1:16" ht="11.25" customHeight="1" x14ac:dyDescent="0.2">
      <c r="A1869" s="52"/>
      <c r="B1869" s="53"/>
      <c r="C1869" s="104" t="s">
        <v>57</v>
      </c>
      <c r="D1869" s="104"/>
      <c r="E1869" s="104"/>
      <c r="F1869" s="104"/>
      <c r="G1869" s="104"/>
      <c r="H1869" s="54"/>
      <c r="I1869" s="55"/>
      <c r="J1869" s="55"/>
      <c r="K1869" s="55"/>
      <c r="L1869" s="56"/>
      <c r="M1869" s="55"/>
      <c r="N1869" s="56"/>
      <c r="O1869" s="55"/>
      <c r="P1869" s="77">
        <v>764.66949999999986</v>
      </c>
    </row>
    <row r="1870" spans="1:16" ht="11.25" customHeight="1" x14ac:dyDescent="0.2">
      <c r="A1870" s="52"/>
      <c r="B1870" s="53" t="s">
        <v>98</v>
      </c>
      <c r="C1870" s="104" t="s">
        <v>99</v>
      </c>
      <c r="D1870" s="104"/>
      <c r="E1870" s="104"/>
      <c r="F1870" s="104"/>
      <c r="G1870" s="104"/>
      <c r="H1870" s="54" t="s">
        <v>60</v>
      </c>
      <c r="I1870" s="58">
        <v>108</v>
      </c>
      <c r="J1870" s="55"/>
      <c r="K1870" s="58">
        <v>108</v>
      </c>
      <c r="L1870" s="56"/>
      <c r="M1870" s="55"/>
      <c r="N1870" s="56"/>
      <c r="O1870" s="55"/>
      <c r="P1870" s="77">
        <v>825.83799999999997</v>
      </c>
    </row>
    <row r="1871" spans="1:16" ht="11.25" customHeight="1" x14ac:dyDescent="0.2">
      <c r="A1871" s="52"/>
      <c r="B1871" s="53" t="s">
        <v>100</v>
      </c>
      <c r="C1871" s="104" t="s">
        <v>101</v>
      </c>
      <c r="D1871" s="104"/>
      <c r="E1871" s="104"/>
      <c r="F1871" s="104"/>
      <c r="G1871" s="104"/>
      <c r="H1871" s="54" t="s">
        <v>60</v>
      </c>
      <c r="I1871" s="58">
        <v>55</v>
      </c>
      <c r="J1871" s="55"/>
      <c r="K1871" s="58">
        <v>55</v>
      </c>
      <c r="L1871" s="56"/>
      <c r="M1871" s="55"/>
      <c r="N1871" s="56"/>
      <c r="O1871" s="55"/>
      <c r="P1871" s="77">
        <v>420.56649999999996</v>
      </c>
    </row>
    <row r="1872" spans="1:16" ht="11.25" customHeight="1" x14ac:dyDescent="0.2">
      <c r="A1872" s="59"/>
      <c r="B1872" s="98"/>
      <c r="C1872" s="102" t="s">
        <v>63</v>
      </c>
      <c r="D1872" s="102"/>
      <c r="E1872" s="102"/>
      <c r="F1872" s="102"/>
      <c r="G1872" s="102"/>
      <c r="H1872" s="41"/>
      <c r="I1872" s="42"/>
      <c r="J1872" s="42"/>
      <c r="K1872" s="42"/>
      <c r="L1872" s="45"/>
      <c r="M1872" s="42"/>
      <c r="N1872" s="49">
        <v>6733.7</v>
      </c>
      <c r="O1872" s="42"/>
      <c r="P1872" s="50">
        <v>2090.8149999999996</v>
      </c>
    </row>
    <row r="1873" spans="1:16" ht="11.25" customHeight="1" x14ac:dyDescent="0.2">
      <c r="A1873" s="39" t="s">
        <v>916</v>
      </c>
      <c r="B1873" s="97" t="s">
        <v>127</v>
      </c>
      <c r="C1873" s="103" t="s">
        <v>128</v>
      </c>
      <c r="D1873" s="103"/>
      <c r="E1873" s="103"/>
      <c r="F1873" s="103"/>
      <c r="G1873" s="103"/>
      <c r="H1873" s="41" t="s">
        <v>129</v>
      </c>
      <c r="I1873" s="42">
        <v>2.7</v>
      </c>
      <c r="J1873" s="43">
        <v>1</v>
      </c>
      <c r="K1873" s="43">
        <v>2.7</v>
      </c>
      <c r="L1873" s="61">
        <v>94.58</v>
      </c>
      <c r="M1873" s="62">
        <v>1.17</v>
      </c>
      <c r="N1873" s="61">
        <v>1106.5999999999999</v>
      </c>
      <c r="O1873" s="42"/>
      <c r="P1873" s="50">
        <v>3435.9929999999999</v>
      </c>
    </row>
    <row r="1874" spans="1:16" ht="11.25" customHeight="1" x14ac:dyDescent="0.2">
      <c r="A1874" s="59"/>
      <c r="B1874" s="98"/>
      <c r="C1874" s="102" t="s">
        <v>63</v>
      </c>
      <c r="D1874" s="102"/>
      <c r="E1874" s="102"/>
      <c r="F1874" s="102"/>
      <c r="G1874" s="102"/>
      <c r="H1874" s="41"/>
      <c r="I1874" s="42"/>
      <c r="J1874" s="42"/>
      <c r="K1874" s="42"/>
      <c r="L1874" s="45"/>
      <c r="M1874" s="42"/>
      <c r="N1874" s="45"/>
      <c r="O1874" s="42"/>
      <c r="P1874" s="50">
        <v>3435.9929999999999</v>
      </c>
    </row>
    <row r="1875" spans="1:16" ht="11.25" customHeight="1" x14ac:dyDescent="0.2">
      <c r="A1875" s="39" t="s">
        <v>917</v>
      </c>
      <c r="B1875" s="97" t="s">
        <v>131</v>
      </c>
      <c r="C1875" s="103" t="s">
        <v>132</v>
      </c>
      <c r="D1875" s="103"/>
      <c r="E1875" s="103"/>
      <c r="F1875" s="103"/>
      <c r="G1875" s="103"/>
      <c r="H1875" s="41" t="s">
        <v>55</v>
      </c>
      <c r="I1875" s="42">
        <v>0.11600000000000001</v>
      </c>
      <c r="J1875" s="43">
        <v>1</v>
      </c>
      <c r="K1875" s="44">
        <v>0.11600000000000001</v>
      </c>
      <c r="L1875" s="45"/>
      <c r="M1875" s="42"/>
      <c r="N1875" s="45"/>
      <c r="O1875" s="42"/>
      <c r="P1875" s="50"/>
    </row>
    <row r="1876" spans="1:16" ht="11.25" customHeight="1" x14ac:dyDescent="0.2">
      <c r="A1876" s="47"/>
      <c r="B1876" s="48"/>
      <c r="C1876" s="102" t="s">
        <v>56</v>
      </c>
      <c r="D1876" s="102"/>
      <c r="E1876" s="102"/>
      <c r="F1876" s="102"/>
      <c r="G1876" s="102"/>
      <c r="H1876" s="41"/>
      <c r="I1876" s="42"/>
      <c r="J1876" s="42"/>
      <c r="K1876" s="42"/>
      <c r="L1876" s="45"/>
      <c r="M1876" s="42"/>
      <c r="N1876" s="49"/>
      <c r="O1876" s="42"/>
      <c r="P1876" s="50">
        <v>3346.4539999999997</v>
      </c>
    </row>
    <row r="1877" spans="1:16" ht="11.25" customHeight="1" x14ac:dyDescent="0.2">
      <c r="A1877" s="52"/>
      <c r="B1877" s="53"/>
      <c r="C1877" s="104" t="s">
        <v>57</v>
      </c>
      <c r="D1877" s="104"/>
      <c r="E1877" s="104"/>
      <c r="F1877" s="104"/>
      <c r="G1877" s="104"/>
      <c r="H1877" s="54"/>
      <c r="I1877" s="55"/>
      <c r="J1877" s="55"/>
      <c r="K1877" s="55"/>
      <c r="L1877" s="56"/>
      <c r="M1877" s="55"/>
      <c r="N1877" s="56"/>
      <c r="O1877" s="55"/>
      <c r="P1877" s="77">
        <v>2585.7059999999997</v>
      </c>
    </row>
    <row r="1878" spans="1:16" ht="11.25" customHeight="1" x14ac:dyDescent="0.2">
      <c r="A1878" s="52"/>
      <c r="B1878" s="53" t="s">
        <v>58</v>
      </c>
      <c r="C1878" s="104" t="s">
        <v>59</v>
      </c>
      <c r="D1878" s="104"/>
      <c r="E1878" s="104"/>
      <c r="F1878" s="104"/>
      <c r="G1878" s="104"/>
      <c r="H1878" s="54" t="s">
        <v>60</v>
      </c>
      <c r="I1878" s="58">
        <v>100</v>
      </c>
      <c r="J1878" s="55"/>
      <c r="K1878" s="58">
        <v>100</v>
      </c>
      <c r="L1878" s="56"/>
      <c r="M1878" s="55"/>
      <c r="N1878" s="56"/>
      <c r="O1878" s="55"/>
      <c r="P1878" s="77">
        <v>2585.7059999999997</v>
      </c>
    </row>
    <row r="1879" spans="1:16" ht="11.25" customHeight="1" x14ac:dyDescent="0.2">
      <c r="A1879" s="52"/>
      <c r="B1879" s="53" t="s">
        <v>61</v>
      </c>
      <c r="C1879" s="104" t="s">
        <v>62</v>
      </c>
      <c r="D1879" s="104"/>
      <c r="E1879" s="104"/>
      <c r="F1879" s="104"/>
      <c r="G1879" s="104"/>
      <c r="H1879" s="54" t="s">
        <v>60</v>
      </c>
      <c r="I1879" s="58">
        <v>49</v>
      </c>
      <c r="J1879" s="55"/>
      <c r="K1879" s="58">
        <v>49</v>
      </c>
      <c r="L1879" s="56"/>
      <c r="M1879" s="55"/>
      <c r="N1879" s="56"/>
      <c r="O1879" s="55"/>
      <c r="P1879" s="77">
        <v>1267.001</v>
      </c>
    </row>
    <row r="1880" spans="1:16" ht="11.25" customHeight="1" x14ac:dyDescent="0.2">
      <c r="A1880" s="59"/>
      <c r="B1880" s="98"/>
      <c r="C1880" s="102" t="s">
        <v>63</v>
      </c>
      <c r="D1880" s="102"/>
      <c r="E1880" s="102"/>
      <c r="F1880" s="102"/>
      <c r="G1880" s="102"/>
      <c r="H1880" s="41"/>
      <c r="I1880" s="42"/>
      <c r="J1880" s="42"/>
      <c r="K1880" s="42"/>
      <c r="L1880" s="45"/>
      <c r="M1880" s="42"/>
      <c r="N1880" s="49">
        <v>45895.45</v>
      </c>
      <c r="O1880" s="42"/>
      <c r="P1880" s="50">
        <v>7199.1610000000001</v>
      </c>
    </row>
    <row r="1881" spans="1:16" ht="11.25" customHeight="1" x14ac:dyDescent="0.2">
      <c r="A1881" s="39" t="s">
        <v>918</v>
      </c>
      <c r="B1881" s="97" t="s">
        <v>134</v>
      </c>
      <c r="C1881" s="103" t="s">
        <v>135</v>
      </c>
      <c r="D1881" s="103"/>
      <c r="E1881" s="103"/>
      <c r="F1881" s="103"/>
      <c r="G1881" s="103"/>
      <c r="H1881" s="41" t="s">
        <v>71</v>
      </c>
      <c r="I1881" s="42">
        <v>4.0920000000000002E-3</v>
      </c>
      <c r="J1881" s="43">
        <v>1</v>
      </c>
      <c r="K1881" s="68">
        <v>4.0920000000000002E-3</v>
      </c>
      <c r="L1881" s="49">
        <v>52663.94</v>
      </c>
      <c r="M1881" s="62">
        <v>1.81</v>
      </c>
      <c r="N1881" s="49">
        <v>95321.73</v>
      </c>
      <c r="O1881" s="42"/>
      <c r="P1881" s="50">
        <v>448.56899999999996</v>
      </c>
    </row>
    <row r="1882" spans="1:16" ht="11.25" customHeight="1" x14ac:dyDescent="0.2">
      <c r="A1882" s="59"/>
      <c r="B1882" s="98"/>
      <c r="C1882" s="102" t="s">
        <v>63</v>
      </c>
      <c r="D1882" s="102"/>
      <c r="E1882" s="102"/>
      <c r="F1882" s="102"/>
      <c r="G1882" s="102"/>
      <c r="H1882" s="41"/>
      <c r="I1882" s="42"/>
      <c r="J1882" s="42"/>
      <c r="K1882" s="42"/>
      <c r="L1882" s="45"/>
      <c r="M1882" s="42"/>
      <c r="N1882" s="45"/>
      <c r="O1882" s="42"/>
      <c r="P1882" s="50">
        <v>448.56899999999996</v>
      </c>
    </row>
    <row r="1883" spans="1:16" ht="11.25" customHeight="1" x14ac:dyDescent="0.2">
      <c r="A1883" s="39" t="s">
        <v>919</v>
      </c>
      <c r="B1883" s="97" t="s">
        <v>137</v>
      </c>
      <c r="C1883" s="103" t="s">
        <v>138</v>
      </c>
      <c r="D1883" s="103"/>
      <c r="E1883" s="103"/>
      <c r="F1883" s="103"/>
      <c r="G1883" s="103"/>
      <c r="H1883" s="41" t="s">
        <v>67</v>
      </c>
      <c r="I1883" s="42">
        <v>2.7280000000000002</v>
      </c>
      <c r="J1883" s="43">
        <v>1</v>
      </c>
      <c r="K1883" s="66">
        <v>2.7280000000000002</v>
      </c>
      <c r="L1883" s="61">
        <v>144.12</v>
      </c>
      <c r="M1883" s="67">
        <v>1.2</v>
      </c>
      <c r="N1883" s="61">
        <v>172.94</v>
      </c>
      <c r="O1883" s="42"/>
      <c r="P1883" s="50">
        <v>542.54699999999991</v>
      </c>
    </row>
    <row r="1884" spans="1:16" ht="11.25" customHeight="1" x14ac:dyDescent="0.2">
      <c r="A1884" s="59"/>
      <c r="B1884" s="98"/>
      <c r="C1884" s="102" t="s">
        <v>63</v>
      </c>
      <c r="D1884" s="102"/>
      <c r="E1884" s="102"/>
      <c r="F1884" s="102"/>
      <c r="G1884" s="102"/>
      <c r="H1884" s="41"/>
      <c r="I1884" s="42"/>
      <c r="J1884" s="42"/>
      <c r="K1884" s="42"/>
      <c r="L1884" s="45"/>
      <c r="M1884" s="42"/>
      <c r="N1884" s="45"/>
      <c r="O1884" s="42"/>
      <c r="P1884" s="50">
        <v>542.54699999999991</v>
      </c>
    </row>
    <row r="1885" spans="1:16" ht="11.25" customHeight="1" x14ac:dyDescent="0.2">
      <c r="A1885" s="39" t="s">
        <v>920</v>
      </c>
      <c r="B1885" s="97" t="s">
        <v>140</v>
      </c>
      <c r="C1885" s="103" t="s">
        <v>141</v>
      </c>
      <c r="D1885" s="103"/>
      <c r="E1885" s="103"/>
      <c r="F1885" s="103"/>
      <c r="G1885" s="103"/>
      <c r="H1885" s="41" t="s">
        <v>55</v>
      </c>
      <c r="I1885" s="42">
        <v>0.23430000000000001</v>
      </c>
      <c r="J1885" s="43">
        <v>1</v>
      </c>
      <c r="K1885" s="44">
        <v>0.23430000000000001</v>
      </c>
      <c r="L1885" s="140"/>
      <c r="M1885" s="42"/>
      <c r="N1885" s="45"/>
      <c r="O1885" s="42"/>
      <c r="P1885" s="50">
        <v>0</v>
      </c>
    </row>
    <row r="1886" spans="1:16" ht="11.25" customHeight="1" x14ac:dyDescent="0.2">
      <c r="A1886" s="47"/>
      <c r="B1886" s="48"/>
      <c r="C1886" s="102" t="s">
        <v>56</v>
      </c>
      <c r="D1886" s="102"/>
      <c r="E1886" s="102"/>
      <c r="F1886" s="102"/>
      <c r="G1886" s="102"/>
      <c r="H1886" s="41"/>
      <c r="I1886" s="42"/>
      <c r="J1886" s="42"/>
      <c r="K1886" s="42"/>
      <c r="L1886" s="45"/>
      <c r="M1886" s="42"/>
      <c r="N1886" s="49"/>
      <c r="O1886" s="42"/>
      <c r="P1886" s="50">
        <v>39354.218999999997</v>
      </c>
    </row>
    <row r="1887" spans="1:16" ht="11.25" customHeight="1" x14ac:dyDescent="0.2">
      <c r="A1887" s="52"/>
      <c r="B1887" s="53"/>
      <c r="C1887" s="104" t="s">
        <v>57</v>
      </c>
      <c r="D1887" s="104"/>
      <c r="E1887" s="104"/>
      <c r="F1887" s="104"/>
      <c r="G1887" s="104"/>
      <c r="H1887" s="54"/>
      <c r="I1887" s="55"/>
      <c r="J1887" s="55"/>
      <c r="K1887" s="55"/>
      <c r="L1887" s="56"/>
      <c r="M1887" s="55"/>
      <c r="N1887" s="56"/>
      <c r="O1887" s="55"/>
      <c r="P1887" s="77">
        <v>35608.898999999998</v>
      </c>
    </row>
    <row r="1888" spans="1:16" ht="11.25" customHeight="1" x14ac:dyDescent="0.2">
      <c r="A1888" s="52"/>
      <c r="B1888" s="53" t="s">
        <v>58</v>
      </c>
      <c r="C1888" s="104" t="s">
        <v>59</v>
      </c>
      <c r="D1888" s="104"/>
      <c r="E1888" s="104"/>
      <c r="F1888" s="104"/>
      <c r="G1888" s="104"/>
      <c r="H1888" s="54" t="s">
        <v>60</v>
      </c>
      <c r="I1888" s="58">
        <v>100</v>
      </c>
      <c r="J1888" s="55"/>
      <c r="K1888" s="58">
        <v>100</v>
      </c>
      <c r="L1888" s="56"/>
      <c r="M1888" s="55"/>
      <c r="N1888" s="56"/>
      <c r="O1888" s="55"/>
      <c r="P1888" s="77">
        <v>35608.898999999998</v>
      </c>
    </row>
    <row r="1889" spans="1:16" ht="11.25" customHeight="1" x14ac:dyDescent="0.2">
      <c r="A1889" s="52"/>
      <c r="B1889" s="53" t="s">
        <v>61</v>
      </c>
      <c r="C1889" s="104" t="s">
        <v>62</v>
      </c>
      <c r="D1889" s="104"/>
      <c r="E1889" s="104"/>
      <c r="F1889" s="104"/>
      <c r="G1889" s="104"/>
      <c r="H1889" s="54" t="s">
        <v>60</v>
      </c>
      <c r="I1889" s="58">
        <v>49</v>
      </c>
      <c r="J1889" s="55"/>
      <c r="K1889" s="58">
        <v>49</v>
      </c>
      <c r="L1889" s="56"/>
      <c r="M1889" s="55"/>
      <c r="N1889" s="56"/>
      <c r="O1889" s="55"/>
      <c r="P1889" s="77">
        <v>17448.363499999999</v>
      </c>
    </row>
    <row r="1890" spans="1:16" ht="11.25" customHeight="1" x14ac:dyDescent="0.2">
      <c r="A1890" s="59"/>
      <c r="B1890" s="98"/>
      <c r="C1890" s="102" t="s">
        <v>63</v>
      </c>
      <c r="D1890" s="102"/>
      <c r="E1890" s="102"/>
      <c r="F1890" s="102"/>
      <c r="G1890" s="102"/>
      <c r="H1890" s="41"/>
      <c r="I1890" s="42"/>
      <c r="J1890" s="42"/>
      <c r="K1890" s="42"/>
      <c r="L1890" s="45"/>
      <c r="M1890" s="42"/>
      <c r="N1890" s="49">
        <v>206045.67</v>
      </c>
      <c r="O1890" s="42"/>
      <c r="P1890" s="50">
        <v>55517.974654999991</v>
      </c>
    </row>
    <row r="1891" spans="1:16" ht="11.25" customHeight="1" x14ac:dyDescent="0.2">
      <c r="A1891" s="39" t="s">
        <v>921</v>
      </c>
      <c r="B1891" s="97" t="s">
        <v>143</v>
      </c>
      <c r="C1891" s="103" t="s">
        <v>144</v>
      </c>
      <c r="D1891" s="103"/>
      <c r="E1891" s="103"/>
      <c r="F1891" s="103"/>
      <c r="G1891" s="103"/>
      <c r="H1891" s="41" t="s">
        <v>105</v>
      </c>
      <c r="I1891" s="42">
        <v>23.9</v>
      </c>
      <c r="J1891" s="43">
        <v>1</v>
      </c>
      <c r="K1891" s="67">
        <v>23.9</v>
      </c>
      <c r="L1891" s="61">
        <v>498.7</v>
      </c>
      <c r="M1891" s="62">
        <v>1.22</v>
      </c>
      <c r="N1891" s="61">
        <v>608.41</v>
      </c>
      <c r="O1891" s="42"/>
      <c r="P1891" s="50">
        <v>34872.975038412289</v>
      </c>
    </row>
    <row r="1892" spans="1:16" ht="11.25" customHeight="1" x14ac:dyDescent="0.2">
      <c r="A1892" s="59"/>
      <c r="B1892" s="98"/>
      <c r="C1892" s="102" t="s">
        <v>63</v>
      </c>
      <c r="D1892" s="102"/>
      <c r="E1892" s="102"/>
      <c r="F1892" s="102"/>
      <c r="G1892" s="102"/>
      <c r="H1892" s="41"/>
      <c r="I1892" s="42"/>
      <c r="J1892" s="42"/>
      <c r="K1892" s="42"/>
      <c r="L1892" s="45"/>
      <c r="M1892" s="42"/>
      <c r="N1892" s="45"/>
      <c r="O1892" s="42"/>
      <c r="P1892" s="50">
        <v>34872.975038412289</v>
      </c>
    </row>
    <row r="1893" spans="1:16" ht="11.25" customHeight="1" x14ac:dyDescent="0.2">
      <c r="A1893" s="107" t="s">
        <v>145</v>
      </c>
      <c r="B1893" s="108"/>
      <c r="C1893" s="108"/>
      <c r="D1893" s="108"/>
      <c r="E1893" s="108"/>
      <c r="F1893" s="108"/>
      <c r="G1893" s="108"/>
      <c r="H1893" s="108"/>
      <c r="I1893" s="108"/>
      <c r="J1893" s="108"/>
      <c r="K1893" s="108"/>
      <c r="L1893" s="108"/>
      <c r="M1893" s="108"/>
      <c r="N1893" s="108"/>
      <c r="O1893" s="108"/>
      <c r="P1893" s="109"/>
    </row>
    <row r="1894" spans="1:16" ht="11.25" customHeight="1" x14ac:dyDescent="0.2">
      <c r="A1894" s="39" t="s">
        <v>922</v>
      </c>
      <c r="B1894" s="97" t="s">
        <v>147</v>
      </c>
      <c r="C1894" s="103" t="s">
        <v>148</v>
      </c>
      <c r="D1894" s="103"/>
      <c r="E1894" s="103"/>
      <c r="F1894" s="103"/>
      <c r="G1894" s="103"/>
      <c r="H1894" s="41" t="s">
        <v>55</v>
      </c>
      <c r="I1894" s="42">
        <v>1.6500000000000001E-2</v>
      </c>
      <c r="J1894" s="43">
        <v>1</v>
      </c>
      <c r="K1894" s="69">
        <v>1.6500000000000001E-2</v>
      </c>
      <c r="L1894" s="45"/>
      <c r="M1894" s="42"/>
      <c r="N1894" s="45"/>
      <c r="O1894" s="42"/>
      <c r="P1894" s="46"/>
    </row>
    <row r="1895" spans="1:16" ht="11.25" customHeight="1" x14ac:dyDescent="0.2">
      <c r="A1895" s="47"/>
      <c r="B1895" s="48"/>
      <c r="C1895" s="102" t="s">
        <v>56</v>
      </c>
      <c r="D1895" s="102"/>
      <c r="E1895" s="102"/>
      <c r="F1895" s="102"/>
      <c r="G1895" s="102"/>
      <c r="H1895" s="41"/>
      <c r="I1895" s="42"/>
      <c r="J1895" s="42"/>
      <c r="K1895" s="42"/>
      <c r="L1895" s="45"/>
      <c r="M1895" s="42"/>
      <c r="N1895" s="49"/>
      <c r="O1895" s="42"/>
      <c r="P1895" s="50">
        <v>1189.0539999999999</v>
      </c>
    </row>
    <row r="1896" spans="1:16" ht="11.25" customHeight="1" x14ac:dyDescent="0.2">
      <c r="A1896" s="52"/>
      <c r="B1896" s="53"/>
      <c r="C1896" s="104" t="s">
        <v>57</v>
      </c>
      <c r="D1896" s="104"/>
      <c r="E1896" s="104"/>
      <c r="F1896" s="104"/>
      <c r="G1896" s="104"/>
      <c r="H1896" s="54"/>
      <c r="I1896" s="55"/>
      <c r="J1896" s="55"/>
      <c r="K1896" s="55"/>
      <c r="L1896" s="56"/>
      <c r="M1896" s="55"/>
      <c r="N1896" s="56"/>
      <c r="O1896" s="55"/>
      <c r="P1896" s="77">
        <v>1176.5994999999998</v>
      </c>
    </row>
    <row r="1897" spans="1:16" ht="11.25" customHeight="1" x14ac:dyDescent="0.2">
      <c r="A1897" s="52"/>
      <c r="B1897" s="53" t="s">
        <v>149</v>
      </c>
      <c r="C1897" s="104" t="s">
        <v>150</v>
      </c>
      <c r="D1897" s="104"/>
      <c r="E1897" s="104"/>
      <c r="F1897" s="104"/>
      <c r="G1897" s="104"/>
      <c r="H1897" s="54" t="s">
        <v>60</v>
      </c>
      <c r="I1897" s="58">
        <v>91</v>
      </c>
      <c r="J1897" s="55"/>
      <c r="K1897" s="58">
        <v>91</v>
      </c>
      <c r="L1897" s="56"/>
      <c r="M1897" s="55"/>
      <c r="N1897" s="56"/>
      <c r="O1897" s="55"/>
      <c r="P1897" s="77">
        <v>1070.7074999999998</v>
      </c>
    </row>
    <row r="1898" spans="1:16" ht="11.25" customHeight="1" x14ac:dyDescent="0.2">
      <c r="A1898" s="52"/>
      <c r="B1898" s="53" t="s">
        <v>151</v>
      </c>
      <c r="C1898" s="104" t="s">
        <v>152</v>
      </c>
      <c r="D1898" s="104"/>
      <c r="E1898" s="104"/>
      <c r="F1898" s="104"/>
      <c r="G1898" s="104"/>
      <c r="H1898" s="54" t="s">
        <v>60</v>
      </c>
      <c r="I1898" s="58">
        <v>52</v>
      </c>
      <c r="J1898" s="55"/>
      <c r="K1898" s="58">
        <v>52</v>
      </c>
      <c r="L1898" s="56"/>
      <c r="M1898" s="55"/>
      <c r="N1898" s="56"/>
      <c r="O1898" s="55"/>
      <c r="P1898" s="77">
        <v>611.83449999999993</v>
      </c>
    </row>
    <row r="1899" spans="1:16" ht="11.25" customHeight="1" x14ac:dyDescent="0.2">
      <c r="A1899" s="59"/>
      <c r="B1899" s="98"/>
      <c r="C1899" s="102" t="s">
        <v>63</v>
      </c>
      <c r="D1899" s="102"/>
      <c r="E1899" s="102"/>
      <c r="F1899" s="102"/>
      <c r="G1899" s="102"/>
      <c r="H1899" s="41"/>
      <c r="I1899" s="42"/>
      <c r="J1899" s="42"/>
      <c r="K1899" s="42"/>
      <c r="L1899" s="45"/>
      <c r="M1899" s="42"/>
      <c r="N1899" s="49">
        <v>84588.08</v>
      </c>
      <c r="O1899" s="42"/>
      <c r="P1899" s="50">
        <v>2871.5959999999995</v>
      </c>
    </row>
    <row r="1900" spans="1:16" ht="11.25" customHeight="1" x14ac:dyDescent="0.2">
      <c r="A1900" s="39" t="s">
        <v>923</v>
      </c>
      <c r="B1900" s="97" t="s">
        <v>154</v>
      </c>
      <c r="C1900" s="103" t="s">
        <v>155</v>
      </c>
      <c r="D1900" s="103"/>
      <c r="E1900" s="103"/>
      <c r="F1900" s="103"/>
      <c r="G1900" s="103"/>
      <c r="H1900" s="41" t="s">
        <v>55</v>
      </c>
      <c r="I1900" s="42">
        <v>1.6500000000000001E-2</v>
      </c>
      <c r="J1900" s="43">
        <v>1</v>
      </c>
      <c r="K1900" s="69">
        <v>1.6500000000000001E-2</v>
      </c>
      <c r="L1900" s="45"/>
      <c r="M1900" s="42"/>
      <c r="N1900" s="45"/>
      <c r="O1900" s="42"/>
      <c r="P1900" s="50"/>
    </row>
    <row r="1901" spans="1:16" ht="11.25" customHeight="1" x14ac:dyDescent="0.2">
      <c r="A1901" s="47"/>
      <c r="B1901" s="48"/>
      <c r="C1901" s="102" t="s">
        <v>56</v>
      </c>
      <c r="D1901" s="102"/>
      <c r="E1901" s="102"/>
      <c r="F1901" s="102"/>
      <c r="G1901" s="102"/>
      <c r="H1901" s="41"/>
      <c r="I1901" s="42"/>
      <c r="J1901" s="42"/>
      <c r="K1901" s="42"/>
      <c r="L1901" s="45"/>
      <c r="M1901" s="42"/>
      <c r="N1901" s="49"/>
      <c r="O1901" s="42"/>
      <c r="P1901" s="50">
        <v>4647.6214999999993</v>
      </c>
    </row>
    <row r="1902" spans="1:16" ht="11.25" customHeight="1" x14ac:dyDescent="0.2">
      <c r="A1902" s="52"/>
      <c r="B1902" s="53"/>
      <c r="C1902" s="104" t="s">
        <v>57</v>
      </c>
      <c r="D1902" s="104"/>
      <c r="E1902" s="104"/>
      <c r="F1902" s="104"/>
      <c r="G1902" s="104"/>
      <c r="H1902" s="54"/>
      <c r="I1902" s="55"/>
      <c r="J1902" s="55"/>
      <c r="K1902" s="55"/>
      <c r="L1902" s="56"/>
      <c r="M1902" s="55"/>
      <c r="N1902" s="56"/>
      <c r="O1902" s="55"/>
      <c r="P1902" s="77">
        <v>2636.3979999999997</v>
      </c>
    </row>
    <row r="1903" spans="1:16" ht="11.25" customHeight="1" x14ac:dyDescent="0.2">
      <c r="A1903" s="52"/>
      <c r="B1903" s="53" t="s">
        <v>98</v>
      </c>
      <c r="C1903" s="104" t="s">
        <v>99</v>
      </c>
      <c r="D1903" s="104"/>
      <c r="E1903" s="104"/>
      <c r="F1903" s="104"/>
      <c r="G1903" s="104"/>
      <c r="H1903" s="54" t="s">
        <v>60</v>
      </c>
      <c r="I1903" s="58">
        <v>108</v>
      </c>
      <c r="J1903" s="55"/>
      <c r="K1903" s="58">
        <v>108</v>
      </c>
      <c r="L1903" s="56"/>
      <c r="M1903" s="55"/>
      <c r="N1903" s="56"/>
      <c r="O1903" s="55"/>
      <c r="P1903" s="77">
        <v>2847.308</v>
      </c>
    </row>
    <row r="1904" spans="1:16" ht="11.25" customHeight="1" x14ac:dyDescent="0.2">
      <c r="A1904" s="52"/>
      <c r="B1904" s="53" t="s">
        <v>100</v>
      </c>
      <c r="C1904" s="104" t="s">
        <v>101</v>
      </c>
      <c r="D1904" s="104"/>
      <c r="E1904" s="104"/>
      <c r="F1904" s="104"/>
      <c r="G1904" s="104"/>
      <c r="H1904" s="54" t="s">
        <v>60</v>
      </c>
      <c r="I1904" s="58">
        <v>55</v>
      </c>
      <c r="J1904" s="55"/>
      <c r="K1904" s="58">
        <v>55</v>
      </c>
      <c r="L1904" s="56"/>
      <c r="M1904" s="55"/>
      <c r="N1904" s="56"/>
      <c r="O1904" s="55"/>
      <c r="P1904" s="77">
        <v>1450.0235</v>
      </c>
    </row>
    <row r="1905" spans="1:16" ht="11.25" customHeight="1" x14ac:dyDescent="0.2">
      <c r="A1905" s="59"/>
      <c r="B1905" s="98"/>
      <c r="C1905" s="102" t="s">
        <v>63</v>
      </c>
      <c r="D1905" s="102"/>
      <c r="E1905" s="102"/>
      <c r="F1905" s="102"/>
      <c r="G1905" s="102"/>
      <c r="H1905" s="41"/>
      <c r="I1905" s="42"/>
      <c r="J1905" s="42"/>
      <c r="K1905" s="42"/>
      <c r="L1905" s="45"/>
      <c r="M1905" s="42"/>
      <c r="N1905" s="49">
        <v>263489.84000000003</v>
      </c>
      <c r="O1905" s="42"/>
      <c r="P1905" s="50">
        <v>8944.9529999999995</v>
      </c>
    </row>
    <row r="1906" spans="1:16" ht="11.25" customHeight="1" x14ac:dyDescent="0.2">
      <c r="A1906" s="39" t="s">
        <v>924</v>
      </c>
      <c r="B1906" s="97" t="s">
        <v>157</v>
      </c>
      <c r="C1906" s="103" t="s">
        <v>158</v>
      </c>
      <c r="D1906" s="103"/>
      <c r="E1906" s="103"/>
      <c r="F1906" s="103"/>
      <c r="G1906" s="103"/>
      <c r="H1906" s="41" t="s">
        <v>105</v>
      </c>
      <c r="I1906" s="42">
        <v>1.65</v>
      </c>
      <c r="J1906" s="43">
        <v>1</v>
      </c>
      <c r="K1906" s="66">
        <v>1.65</v>
      </c>
      <c r="L1906" s="49">
        <v>8723.2999999999993</v>
      </c>
      <c r="M1906" s="62">
        <v>1.17</v>
      </c>
      <c r="N1906" s="49">
        <v>10206.26</v>
      </c>
      <c r="O1906" s="42"/>
      <c r="P1906" s="50">
        <v>41577.854399999997</v>
      </c>
    </row>
    <row r="1907" spans="1:16" ht="11.25" customHeight="1" x14ac:dyDescent="0.2">
      <c r="A1907" s="59"/>
      <c r="B1907" s="98"/>
      <c r="C1907" s="102" t="s">
        <v>63</v>
      </c>
      <c r="D1907" s="102"/>
      <c r="E1907" s="102"/>
      <c r="F1907" s="102"/>
      <c r="G1907" s="102"/>
      <c r="H1907" s="41"/>
      <c r="I1907" s="42"/>
      <c r="J1907" s="42"/>
      <c r="K1907" s="42"/>
      <c r="L1907" s="45"/>
      <c r="M1907" s="42"/>
      <c r="N1907" s="45"/>
      <c r="O1907" s="42"/>
      <c r="P1907" s="50">
        <v>41577.854399999997</v>
      </c>
    </row>
    <row r="1908" spans="1:16" ht="11.25" customHeight="1" x14ac:dyDescent="0.2">
      <c r="A1908" s="107" t="s">
        <v>159</v>
      </c>
      <c r="B1908" s="108"/>
      <c r="C1908" s="108"/>
      <c r="D1908" s="108"/>
      <c r="E1908" s="108"/>
      <c r="F1908" s="108"/>
      <c r="G1908" s="108"/>
      <c r="H1908" s="108"/>
      <c r="I1908" s="108"/>
      <c r="J1908" s="108"/>
      <c r="K1908" s="108"/>
      <c r="L1908" s="108"/>
      <c r="M1908" s="108"/>
      <c r="N1908" s="108"/>
      <c r="O1908" s="108"/>
      <c r="P1908" s="109"/>
    </row>
    <row r="1909" spans="1:16" ht="11.25" customHeight="1" x14ac:dyDescent="0.2">
      <c r="A1909" s="39" t="s">
        <v>925</v>
      </c>
      <c r="B1909" s="97" t="s">
        <v>161</v>
      </c>
      <c r="C1909" s="103" t="s">
        <v>162</v>
      </c>
      <c r="D1909" s="103"/>
      <c r="E1909" s="103"/>
      <c r="F1909" s="103"/>
      <c r="G1909" s="103"/>
      <c r="H1909" s="41" t="s">
        <v>55</v>
      </c>
      <c r="I1909" s="42">
        <v>0.1053</v>
      </c>
      <c r="J1909" s="43">
        <v>1</v>
      </c>
      <c r="K1909" s="44">
        <v>0.1053</v>
      </c>
      <c r="L1909" s="45"/>
      <c r="M1909" s="42"/>
      <c r="N1909" s="45"/>
      <c r="O1909" s="42"/>
      <c r="P1909" s="46"/>
    </row>
    <row r="1910" spans="1:16" ht="11.25" customHeight="1" x14ac:dyDescent="0.2">
      <c r="A1910" s="47"/>
      <c r="B1910" s="48"/>
      <c r="C1910" s="102" t="s">
        <v>56</v>
      </c>
      <c r="D1910" s="102"/>
      <c r="E1910" s="102"/>
      <c r="F1910" s="102"/>
      <c r="G1910" s="102"/>
      <c r="H1910" s="41"/>
      <c r="I1910" s="42"/>
      <c r="J1910" s="42"/>
      <c r="K1910" s="42"/>
      <c r="L1910" s="45"/>
      <c r="M1910" s="42"/>
      <c r="N1910" s="49"/>
      <c r="O1910" s="42"/>
      <c r="P1910" s="50">
        <v>3882.768</v>
      </c>
    </row>
    <row r="1911" spans="1:16" ht="11.25" customHeight="1" x14ac:dyDescent="0.2">
      <c r="A1911" s="52"/>
      <c r="B1911" s="53"/>
      <c r="C1911" s="104" t="s">
        <v>57</v>
      </c>
      <c r="D1911" s="104"/>
      <c r="E1911" s="104"/>
      <c r="F1911" s="104"/>
      <c r="G1911" s="104"/>
      <c r="H1911" s="54"/>
      <c r="I1911" s="55"/>
      <c r="J1911" s="55"/>
      <c r="K1911" s="55"/>
      <c r="L1911" s="56"/>
      <c r="M1911" s="55"/>
      <c r="N1911" s="56"/>
      <c r="O1911" s="55"/>
      <c r="P1911" s="77">
        <v>3877.7194999999997</v>
      </c>
    </row>
    <row r="1912" spans="1:16" ht="11.25" customHeight="1" x14ac:dyDescent="0.2">
      <c r="A1912" s="52"/>
      <c r="B1912" s="53" t="s">
        <v>163</v>
      </c>
      <c r="C1912" s="104" t="s">
        <v>164</v>
      </c>
      <c r="D1912" s="104"/>
      <c r="E1912" s="104"/>
      <c r="F1912" s="104"/>
      <c r="G1912" s="104"/>
      <c r="H1912" s="54" t="s">
        <v>60</v>
      </c>
      <c r="I1912" s="58">
        <v>89</v>
      </c>
      <c r="J1912" s="55"/>
      <c r="K1912" s="58">
        <v>89</v>
      </c>
      <c r="L1912" s="56"/>
      <c r="M1912" s="55"/>
      <c r="N1912" s="56"/>
      <c r="O1912" s="55"/>
      <c r="P1912" s="77">
        <v>3451.1729999999998</v>
      </c>
    </row>
    <row r="1913" spans="1:16" ht="11.25" customHeight="1" x14ac:dyDescent="0.2">
      <c r="A1913" s="52"/>
      <c r="B1913" s="53" t="s">
        <v>165</v>
      </c>
      <c r="C1913" s="104" t="s">
        <v>166</v>
      </c>
      <c r="D1913" s="104"/>
      <c r="E1913" s="104"/>
      <c r="F1913" s="104"/>
      <c r="G1913" s="104"/>
      <c r="H1913" s="54" t="s">
        <v>60</v>
      </c>
      <c r="I1913" s="58">
        <v>49</v>
      </c>
      <c r="J1913" s="55"/>
      <c r="K1913" s="58">
        <v>49</v>
      </c>
      <c r="L1913" s="56"/>
      <c r="M1913" s="55"/>
      <c r="N1913" s="56"/>
      <c r="O1913" s="55"/>
      <c r="P1913" s="77">
        <v>1900.0874999999999</v>
      </c>
    </row>
    <row r="1914" spans="1:16" ht="11.25" customHeight="1" x14ac:dyDescent="0.2">
      <c r="A1914" s="59"/>
      <c r="B1914" s="98"/>
      <c r="C1914" s="102" t="s">
        <v>63</v>
      </c>
      <c r="D1914" s="102"/>
      <c r="E1914" s="102"/>
      <c r="F1914" s="102"/>
      <c r="G1914" s="102"/>
      <c r="H1914" s="41"/>
      <c r="I1914" s="42"/>
      <c r="J1914" s="42"/>
      <c r="K1914" s="42"/>
      <c r="L1914" s="45"/>
      <c r="M1914" s="42"/>
      <c r="N1914" s="49">
        <v>68453.45</v>
      </c>
      <c r="O1914" s="42"/>
      <c r="P1914" s="50">
        <v>12684.028499999999</v>
      </c>
    </row>
    <row r="1915" spans="1:16" ht="11.25" customHeight="1" x14ac:dyDescent="0.2">
      <c r="A1915" s="39" t="s">
        <v>926</v>
      </c>
      <c r="B1915" s="97" t="s">
        <v>168</v>
      </c>
      <c r="C1915" s="103" t="s">
        <v>169</v>
      </c>
      <c r="D1915" s="103"/>
      <c r="E1915" s="103"/>
      <c r="F1915" s="103"/>
      <c r="G1915" s="103"/>
      <c r="H1915" s="41" t="s">
        <v>170</v>
      </c>
      <c r="I1915" s="42">
        <v>0.62</v>
      </c>
      <c r="J1915" s="43">
        <v>1</v>
      </c>
      <c r="K1915" s="62">
        <v>0.621</v>
      </c>
      <c r="L1915" s="45"/>
      <c r="M1915" s="42"/>
      <c r="N1915" s="45"/>
      <c r="O1915" s="42"/>
      <c r="P1915" s="50"/>
    </row>
    <row r="1916" spans="1:16" ht="11.25" customHeight="1" x14ac:dyDescent="0.2">
      <c r="A1916" s="47"/>
      <c r="B1916" s="48"/>
      <c r="C1916" s="102" t="s">
        <v>56</v>
      </c>
      <c r="D1916" s="102"/>
      <c r="E1916" s="102"/>
      <c r="F1916" s="102"/>
      <c r="G1916" s="102"/>
      <c r="H1916" s="41"/>
      <c r="I1916" s="42"/>
      <c r="J1916" s="42"/>
      <c r="K1916" s="42"/>
      <c r="L1916" s="45"/>
      <c r="M1916" s="42"/>
      <c r="N1916" s="49"/>
      <c r="O1916" s="42"/>
      <c r="P1916" s="50">
        <v>3946.6964999999996</v>
      </c>
    </row>
    <row r="1917" spans="1:16" ht="11.25" customHeight="1" x14ac:dyDescent="0.2">
      <c r="A1917" s="52"/>
      <c r="B1917" s="53"/>
      <c r="C1917" s="104" t="s">
        <v>57</v>
      </c>
      <c r="D1917" s="104"/>
      <c r="E1917" s="104"/>
      <c r="F1917" s="104"/>
      <c r="G1917" s="104"/>
      <c r="H1917" s="54"/>
      <c r="I1917" s="55"/>
      <c r="J1917" s="55"/>
      <c r="K1917" s="55"/>
      <c r="L1917" s="56"/>
      <c r="M1917" s="55"/>
      <c r="N1917" s="56"/>
      <c r="O1917" s="55"/>
      <c r="P1917" s="77">
        <v>3555.4089999999997</v>
      </c>
    </row>
    <row r="1918" spans="1:16" ht="11.25" customHeight="1" x14ac:dyDescent="0.2">
      <c r="A1918" s="52"/>
      <c r="B1918" s="53" t="s">
        <v>149</v>
      </c>
      <c r="C1918" s="104" t="s">
        <v>150</v>
      </c>
      <c r="D1918" s="104"/>
      <c r="E1918" s="104"/>
      <c r="F1918" s="104"/>
      <c r="G1918" s="104"/>
      <c r="H1918" s="54" t="s">
        <v>60</v>
      </c>
      <c r="I1918" s="58">
        <v>91</v>
      </c>
      <c r="J1918" s="55"/>
      <c r="K1918" s="58">
        <v>91</v>
      </c>
      <c r="L1918" s="56"/>
      <c r="M1918" s="55"/>
      <c r="N1918" s="56"/>
      <c r="O1918" s="55"/>
      <c r="P1918" s="77">
        <v>3235.4214999999995</v>
      </c>
    </row>
    <row r="1919" spans="1:16" ht="11.25" customHeight="1" x14ac:dyDescent="0.2">
      <c r="A1919" s="52"/>
      <c r="B1919" s="53" t="s">
        <v>151</v>
      </c>
      <c r="C1919" s="104" t="s">
        <v>152</v>
      </c>
      <c r="D1919" s="104"/>
      <c r="E1919" s="104"/>
      <c r="F1919" s="104"/>
      <c r="G1919" s="104"/>
      <c r="H1919" s="54" t="s">
        <v>60</v>
      </c>
      <c r="I1919" s="58">
        <v>52</v>
      </c>
      <c r="J1919" s="55"/>
      <c r="K1919" s="58">
        <v>52</v>
      </c>
      <c r="L1919" s="56"/>
      <c r="M1919" s="55"/>
      <c r="N1919" s="56"/>
      <c r="O1919" s="55"/>
      <c r="P1919" s="77">
        <v>1848.809</v>
      </c>
    </row>
    <row r="1920" spans="1:16" ht="11.25" customHeight="1" x14ac:dyDescent="0.2">
      <c r="A1920" s="59"/>
      <c r="B1920" s="98"/>
      <c r="C1920" s="102" t="s">
        <v>63</v>
      </c>
      <c r="D1920" s="102"/>
      <c r="E1920" s="102"/>
      <c r="F1920" s="102"/>
      <c r="G1920" s="102"/>
      <c r="H1920" s="41"/>
      <c r="I1920" s="42"/>
      <c r="J1920" s="42"/>
      <c r="K1920" s="42"/>
      <c r="L1920" s="45"/>
      <c r="M1920" s="42"/>
      <c r="N1920" s="49">
        <v>8013.24</v>
      </c>
      <c r="O1920" s="42"/>
      <c r="P1920" s="50">
        <v>9030.9269999999997</v>
      </c>
    </row>
    <row r="1921" spans="1:16" ht="11.25" customHeight="1" x14ac:dyDescent="0.2">
      <c r="A1921" s="39" t="s">
        <v>927</v>
      </c>
      <c r="B1921" s="97" t="s">
        <v>172</v>
      </c>
      <c r="C1921" s="103" t="s">
        <v>173</v>
      </c>
      <c r="D1921" s="103"/>
      <c r="E1921" s="103"/>
      <c r="F1921" s="103"/>
      <c r="G1921" s="103"/>
      <c r="H1921" s="41" t="s">
        <v>170</v>
      </c>
      <c r="I1921" s="42">
        <v>2.8000000000000001E-2</v>
      </c>
      <c r="J1921" s="43">
        <v>1</v>
      </c>
      <c r="K1921" s="66">
        <v>2.8000000000000001E-2</v>
      </c>
      <c r="L1921" s="45"/>
      <c r="M1921" s="42"/>
      <c r="N1921" s="45"/>
      <c r="O1921" s="42"/>
      <c r="P1921" s="50"/>
    </row>
    <row r="1922" spans="1:16" ht="11.25" customHeight="1" x14ac:dyDescent="0.2">
      <c r="A1922" s="47"/>
      <c r="B1922" s="48"/>
      <c r="C1922" s="102" t="s">
        <v>56</v>
      </c>
      <c r="D1922" s="102"/>
      <c r="E1922" s="102"/>
      <c r="F1922" s="102"/>
      <c r="G1922" s="102"/>
      <c r="H1922" s="41"/>
      <c r="I1922" s="42"/>
      <c r="J1922" s="42"/>
      <c r="K1922" s="42"/>
      <c r="L1922" s="45"/>
      <c r="M1922" s="42"/>
      <c r="N1922" s="49"/>
      <c r="O1922" s="42"/>
      <c r="P1922" s="50">
        <v>2188.0360000000001</v>
      </c>
    </row>
    <row r="1923" spans="1:16" ht="11.25" customHeight="1" x14ac:dyDescent="0.2">
      <c r="A1923" s="52"/>
      <c r="B1923" s="53"/>
      <c r="C1923" s="104" t="s">
        <v>57</v>
      </c>
      <c r="D1923" s="104"/>
      <c r="E1923" s="104"/>
      <c r="F1923" s="104"/>
      <c r="G1923" s="104"/>
      <c r="H1923" s="54"/>
      <c r="I1923" s="55"/>
      <c r="J1923" s="55"/>
      <c r="K1923" s="55"/>
      <c r="L1923" s="56"/>
      <c r="M1923" s="55"/>
      <c r="N1923" s="56"/>
      <c r="O1923" s="55"/>
      <c r="P1923" s="77">
        <v>1948.4794999999997</v>
      </c>
    </row>
    <row r="1924" spans="1:16" ht="11.25" customHeight="1" x14ac:dyDescent="0.2">
      <c r="A1924" s="52"/>
      <c r="B1924" s="53" t="s">
        <v>174</v>
      </c>
      <c r="C1924" s="104" t="s">
        <v>175</v>
      </c>
      <c r="D1924" s="104"/>
      <c r="E1924" s="104"/>
      <c r="F1924" s="104"/>
      <c r="G1924" s="104"/>
      <c r="H1924" s="54" t="s">
        <v>60</v>
      </c>
      <c r="I1924" s="58">
        <v>110</v>
      </c>
      <c r="J1924" s="55"/>
      <c r="K1924" s="58">
        <v>110</v>
      </c>
      <c r="L1924" s="56"/>
      <c r="M1924" s="55"/>
      <c r="N1924" s="56"/>
      <c r="O1924" s="55"/>
      <c r="P1924" s="77">
        <v>2143.3239999999996</v>
      </c>
    </row>
    <row r="1925" spans="1:16" ht="11.25" customHeight="1" x14ac:dyDescent="0.2">
      <c r="A1925" s="52"/>
      <c r="B1925" s="53" t="s">
        <v>176</v>
      </c>
      <c r="C1925" s="104" t="s">
        <v>177</v>
      </c>
      <c r="D1925" s="104"/>
      <c r="E1925" s="104"/>
      <c r="F1925" s="104"/>
      <c r="G1925" s="104"/>
      <c r="H1925" s="54" t="s">
        <v>60</v>
      </c>
      <c r="I1925" s="58">
        <v>69</v>
      </c>
      <c r="J1925" s="55"/>
      <c r="K1925" s="58">
        <v>69</v>
      </c>
      <c r="L1925" s="56"/>
      <c r="M1925" s="55"/>
      <c r="N1925" s="56"/>
      <c r="O1925" s="55"/>
      <c r="P1925" s="77">
        <v>1344.4534999999998</v>
      </c>
    </row>
    <row r="1926" spans="1:16" ht="11.25" customHeight="1" x14ac:dyDescent="0.2">
      <c r="A1926" s="59"/>
      <c r="B1926" s="98"/>
      <c r="C1926" s="102" t="s">
        <v>63</v>
      </c>
      <c r="D1926" s="102"/>
      <c r="E1926" s="102"/>
      <c r="F1926" s="102"/>
      <c r="G1926" s="102"/>
      <c r="H1926" s="41"/>
      <c r="I1926" s="42"/>
      <c r="J1926" s="42"/>
      <c r="K1926" s="42"/>
      <c r="L1926" s="45"/>
      <c r="M1926" s="42"/>
      <c r="N1926" s="49">
        <v>5036.21</v>
      </c>
      <c r="O1926" s="42"/>
      <c r="P1926" s="50">
        <v>5675.8134999999993</v>
      </c>
    </row>
    <row r="1927" spans="1:16" ht="11.25" customHeight="1" x14ac:dyDescent="0.2">
      <c r="A1927" s="39" t="s">
        <v>928</v>
      </c>
      <c r="B1927" s="97" t="s">
        <v>179</v>
      </c>
      <c r="C1927" s="103" t="s">
        <v>180</v>
      </c>
      <c r="D1927" s="103"/>
      <c r="E1927" s="103"/>
      <c r="F1927" s="103"/>
      <c r="G1927" s="103"/>
      <c r="H1927" s="41" t="s">
        <v>170</v>
      </c>
      <c r="I1927" s="42">
        <f>I1921</f>
        <v>2.8000000000000001E-2</v>
      </c>
      <c r="J1927" s="43">
        <v>1</v>
      </c>
      <c r="K1927" s="44">
        <f>K1921</f>
        <v>2.8000000000000001E-2</v>
      </c>
      <c r="L1927" s="49">
        <v>5719.62</v>
      </c>
      <c r="M1927" s="62">
        <v>1.25</v>
      </c>
      <c r="N1927" s="49">
        <v>7149.53</v>
      </c>
      <c r="O1927" s="42"/>
      <c r="P1927" s="50">
        <v>7862.8888888888887</v>
      </c>
    </row>
    <row r="1928" spans="1:16" ht="11.25" customHeight="1" x14ac:dyDescent="0.2">
      <c r="A1928" s="59"/>
      <c r="B1928" s="98"/>
      <c r="C1928" s="102" t="s">
        <v>63</v>
      </c>
      <c r="D1928" s="102"/>
      <c r="E1928" s="102"/>
      <c r="F1928" s="102"/>
      <c r="G1928" s="102"/>
      <c r="H1928" s="41"/>
      <c r="I1928" s="42"/>
      <c r="J1928" s="42"/>
      <c r="K1928" s="42"/>
      <c r="L1928" s="45"/>
      <c r="M1928" s="42"/>
      <c r="N1928" s="45"/>
      <c r="O1928" s="42"/>
      <c r="P1928" s="50">
        <v>7862.8888888888887</v>
      </c>
    </row>
    <row r="1929" spans="1:16" ht="11.25" customHeight="1" x14ac:dyDescent="0.2">
      <c r="A1929" s="39" t="s">
        <v>929</v>
      </c>
      <c r="B1929" s="97" t="s">
        <v>182</v>
      </c>
      <c r="C1929" s="103" t="s">
        <v>183</v>
      </c>
      <c r="D1929" s="103"/>
      <c r="E1929" s="103"/>
      <c r="F1929" s="103"/>
      <c r="G1929" s="103"/>
      <c r="H1929" s="41" t="s">
        <v>71</v>
      </c>
      <c r="I1929" s="42">
        <v>2.7900600000000001E-2</v>
      </c>
      <c r="J1929" s="43">
        <v>1</v>
      </c>
      <c r="K1929" s="64">
        <v>2.7900600000000001E-2</v>
      </c>
      <c r="L1929" s="49">
        <v>39438.35</v>
      </c>
      <c r="M1929" s="62">
        <v>1.37</v>
      </c>
      <c r="N1929" s="49">
        <v>54030.54</v>
      </c>
      <c r="O1929" s="42"/>
      <c r="P1929" s="50">
        <v>1733.6019999999999</v>
      </c>
    </row>
    <row r="1930" spans="1:16" ht="11.25" customHeight="1" x14ac:dyDescent="0.2">
      <c r="A1930" s="59"/>
      <c r="B1930" s="98"/>
      <c r="C1930" s="102" t="s">
        <v>63</v>
      </c>
      <c r="D1930" s="102"/>
      <c r="E1930" s="102"/>
      <c r="F1930" s="102"/>
      <c r="G1930" s="102"/>
      <c r="H1930" s="41"/>
      <c r="I1930" s="42"/>
      <c r="J1930" s="42"/>
      <c r="K1930" s="42"/>
      <c r="L1930" s="45"/>
      <c r="M1930" s="42"/>
      <c r="N1930" s="45"/>
      <c r="O1930" s="42"/>
      <c r="P1930" s="50">
        <v>1733.6019999999999</v>
      </c>
    </row>
    <row r="1931" spans="1:16" ht="11.25" customHeight="1" x14ac:dyDescent="0.2">
      <c r="A1931" s="39" t="s">
        <v>930</v>
      </c>
      <c r="B1931" s="97" t="s">
        <v>185</v>
      </c>
      <c r="C1931" s="103" t="s">
        <v>186</v>
      </c>
      <c r="D1931" s="103"/>
      <c r="E1931" s="103"/>
      <c r="F1931" s="103"/>
      <c r="G1931" s="103"/>
      <c r="H1931" s="41" t="s">
        <v>55</v>
      </c>
      <c r="I1931" s="42">
        <v>0.1053</v>
      </c>
      <c r="J1931" s="43">
        <v>1</v>
      </c>
      <c r="K1931" s="44">
        <v>0.1053</v>
      </c>
      <c r="L1931" s="45"/>
      <c r="M1931" s="42"/>
      <c r="N1931" s="45"/>
      <c r="O1931" s="42"/>
      <c r="P1931" s="50"/>
    </row>
    <row r="1932" spans="1:16" ht="11.25" customHeight="1" x14ac:dyDescent="0.2">
      <c r="A1932" s="47"/>
      <c r="B1932" s="48"/>
      <c r="C1932" s="102" t="s">
        <v>56</v>
      </c>
      <c r="D1932" s="102"/>
      <c r="E1932" s="102"/>
      <c r="F1932" s="102"/>
      <c r="G1932" s="102"/>
      <c r="H1932" s="41"/>
      <c r="I1932" s="42"/>
      <c r="J1932" s="42"/>
      <c r="K1932" s="42"/>
      <c r="L1932" s="45"/>
      <c r="M1932" s="42"/>
      <c r="N1932" s="49"/>
      <c r="O1932" s="42"/>
      <c r="P1932" s="50">
        <v>1740.1569999999999</v>
      </c>
    </row>
    <row r="1933" spans="1:16" ht="11.25" customHeight="1" x14ac:dyDescent="0.2">
      <c r="A1933" s="52"/>
      <c r="B1933" s="53"/>
      <c r="C1933" s="104" t="s">
        <v>57</v>
      </c>
      <c r="D1933" s="104"/>
      <c r="E1933" s="104"/>
      <c r="F1933" s="104"/>
      <c r="G1933" s="104"/>
      <c r="H1933" s="54"/>
      <c r="I1933" s="55"/>
      <c r="J1933" s="55"/>
      <c r="K1933" s="55"/>
      <c r="L1933" s="56"/>
      <c r="M1933" s="55"/>
      <c r="N1933" s="56"/>
      <c r="O1933" s="55"/>
      <c r="P1933" s="77">
        <v>1709.4749999999999</v>
      </c>
    </row>
    <row r="1934" spans="1:16" ht="11.25" customHeight="1" x14ac:dyDescent="0.2">
      <c r="A1934" s="52"/>
      <c r="B1934" s="53" t="s">
        <v>187</v>
      </c>
      <c r="C1934" s="104" t="s">
        <v>188</v>
      </c>
      <c r="D1934" s="104"/>
      <c r="E1934" s="104"/>
      <c r="F1934" s="104"/>
      <c r="G1934" s="104"/>
      <c r="H1934" s="54" t="s">
        <v>60</v>
      </c>
      <c r="I1934" s="58">
        <v>112</v>
      </c>
      <c r="J1934" s="55"/>
      <c r="K1934" s="58">
        <v>112</v>
      </c>
      <c r="L1934" s="56"/>
      <c r="M1934" s="55"/>
      <c r="N1934" s="56"/>
      <c r="O1934" s="55"/>
      <c r="P1934" s="77">
        <v>1914.6120000000001</v>
      </c>
    </row>
    <row r="1935" spans="1:16" ht="11.25" customHeight="1" x14ac:dyDescent="0.2">
      <c r="A1935" s="52"/>
      <c r="B1935" s="53" t="s">
        <v>189</v>
      </c>
      <c r="C1935" s="104" t="s">
        <v>190</v>
      </c>
      <c r="D1935" s="104"/>
      <c r="E1935" s="104"/>
      <c r="F1935" s="104"/>
      <c r="G1935" s="104"/>
      <c r="H1935" s="54" t="s">
        <v>60</v>
      </c>
      <c r="I1935" s="58">
        <v>65</v>
      </c>
      <c r="J1935" s="55"/>
      <c r="K1935" s="58">
        <v>65</v>
      </c>
      <c r="L1935" s="56"/>
      <c r="M1935" s="55"/>
      <c r="N1935" s="56"/>
      <c r="O1935" s="55"/>
      <c r="P1935" s="77">
        <v>1111.1644999999999</v>
      </c>
    </row>
    <row r="1936" spans="1:16" ht="11.25" customHeight="1" x14ac:dyDescent="0.2">
      <c r="A1936" s="59"/>
      <c r="B1936" s="98"/>
      <c r="C1936" s="102" t="s">
        <v>63</v>
      </c>
      <c r="D1936" s="102"/>
      <c r="E1936" s="102"/>
      <c r="F1936" s="102"/>
      <c r="G1936" s="102"/>
      <c r="H1936" s="41"/>
      <c r="I1936" s="42"/>
      <c r="J1936" s="42"/>
      <c r="K1936" s="42"/>
      <c r="L1936" s="45"/>
      <c r="M1936" s="42"/>
      <c r="N1936" s="49">
        <v>35330.69</v>
      </c>
      <c r="O1936" s="42"/>
      <c r="P1936" s="50">
        <v>4765.9334999999992</v>
      </c>
    </row>
    <row r="1937" spans="1:16" ht="11.25" customHeight="1" x14ac:dyDescent="0.2">
      <c r="A1937" s="39" t="s">
        <v>930</v>
      </c>
      <c r="B1937" s="97" t="s">
        <v>192</v>
      </c>
      <c r="C1937" s="103" t="s">
        <v>193</v>
      </c>
      <c r="D1937" s="103"/>
      <c r="E1937" s="103"/>
      <c r="F1937" s="103"/>
      <c r="G1937" s="103"/>
      <c r="H1937" s="41" t="s">
        <v>170</v>
      </c>
      <c r="I1937" s="42">
        <v>0.239292</v>
      </c>
      <c r="J1937" s="43">
        <v>1</v>
      </c>
      <c r="K1937" s="68">
        <v>0.239292</v>
      </c>
      <c r="L1937" s="45"/>
      <c r="M1937" s="42"/>
      <c r="N1937" s="49">
        <v>6212.75</v>
      </c>
      <c r="O1937" s="42"/>
      <c r="P1937" s="50">
        <v>1709.6589999999999</v>
      </c>
    </row>
    <row r="1938" spans="1:16" ht="11.25" customHeight="1" x14ac:dyDescent="0.2">
      <c r="A1938" s="59"/>
      <c r="B1938" s="98"/>
      <c r="C1938" s="102" t="s">
        <v>63</v>
      </c>
      <c r="D1938" s="102"/>
      <c r="E1938" s="102"/>
      <c r="F1938" s="102"/>
      <c r="G1938" s="102"/>
      <c r="H1938" s="41"/>
      <c r="I1938" s="42"/>
      <c r="J1938" s="42"/>
      <c r="K1938" s="42"/>
      <c r="L1938" s="45"/>
      <c r="M1938" s="42"/>
      <c r="N1938" s="45"/>
      <c r="O1938" s="42"/>
      <c r="P1938" s="50">
        <v>1709.6589999999999</v>
      </c>
    </row>
    <row r="1939" spans="1:16" ht="11.25" customHeight="1" x14ac:dyDescent="0.2">
      <c r="A1939" s="39" t="s">
        <v>931</v>
      </c>
      <c r="B1939" s="97" t="s">
        <v>195</v>
      </c>
      <c r="C1939" s="103" t="s">
        <v>196</v>
      </c>
      <c r="D1939" s="103"/>
      <c r="E1939" s="103"/>
      <c r="F1939" s="103"/>
      <c r="G1939" s="103"/>
      <c r="H1939" s="41" t="s">
        <v>55</v>
      </c>
      <c r="I1939" s="42">
        <v>0.1053</v>
      </c>
      <c r="J1939" s="43">
        <v>1</v>
      </c>
      <c r="K1939" s="44">
        <v>0.1053</v>
      </c>
      <c r="L1939" s="45"/>
      <c r="M1939" s="42"/>
      <c r="N1939" s="45"/>
      <c r="O1939" s="42"/>
      <c r="P1939" s="50"/>
    </row>
    <row r="1940" spans="1:16" ht="11.25" customHeight="1" x14ac:dyDescent="0.2">
      <c r="A1940" s="47"/>
      <c r="B1940" s="48"/>
      <c r="C1940" s="102" t="s">
        <v>56</v>
      </c>
      <c r="D1940" s="102"/>
      <c r="E1940" s="102"/>
      <c r="F1940" s="102"/>
      <c r="G1940" s="102"/>
      <c r="H1940" s="41"/>
      <c r="I1940" s="42"/>
      <c r="J1940" s="42"/>
      <c r="K1940" s="42"/>
      <c r="L1940" s="45"/>
      <c r="M1940" s="42"/>
      <c r="N1940" s="49"/>
      <c r="O1940" s="42"/>
      <c r="P1940" s="90">
        <v>206.03399999999999</v>
      </c>
    </row>
    <row r="1941" spans="1:16" ht="11.25" customHeight="1" x14ac:dyDescent="0.2">
      <c r="A1941" s="52"/>
      <c r="B1941" s="53"/>
      <c r="C1941" s="104" t="s">
        <v>57</v>
      </c>
      <c r="D1941" s="104"/>
      <c r="E1941" s="104"/>
      <c r="F1941" s="104"/>
      <c r="G1941" s="104"/>
      <c r="H1941" s="54"/>
      <c r="I1941" s="55"/>
      <c r="J1941" s="55"/>
      <c r="K1941" s="55"/>
      <c r="L1941" s="56"/>
      <c r="M1941" s="55"/>
      <c r="N1941" s="56"/>
      <c r="O1941" s="55"/>
      <c r="P1941" s="77">
        <v>184.57499999999999</v>
      </c>
    </row>
    <row r="1942" spans="1:16" ht="11.25" customHeight="1" x14ac:dyDescent="0.2">
      <c r="A1942" s="52"/>
      <c r="B1942" s="53" t="s">
        <v>187</v>
      </c>
      <c r="C1942" s="104" t="s">
        <v>188</v>
      </c>
      <c r="D1942" s="104"/>
      <c r="E1942" s="104"/>
      <c r="F1942" s="104"/>
      <c r="G1942" s="104"/>
      <c r="H1942" s="54" t="s">
        <v>60</v>
      </c>
      <c r="I1942" s="58">
        <v>112</v>
      </c>
      <c r="J1942" s="55"/>
      <c r="K1942" s="58">
        <v>112</v>
      </c>
      <c r="L1942" s="56"/>
      <c r="M1942" s="55"/>
      <c r="N1942" s="56"/>
      <c r="O1942" s="55"/>
      <c r="P1942" s="77">
        <v>206.72399999999996</v>
      </c>
    </row>
    <row r="1943" spans="1:16" ht="11.25" customHeight="1" x14ac:dyDescent="0.2">
      <c r="A1943" s="52"/>
      <c r="B1943" s="53" t="s">
        <v>189</v>
      </c>
      <c r="C1943" s="104" t="s">
        <v>190</v>
      </c>
      <c r="D1943" s="104"/>
      <c r="E1943" s="104"/>
      <c r="F1943" s="104"/>
      <c r="G1943" s="104"/>
      <c r="H1943" s="54" t="s">
        <v>60</v>
      </c>
      <c r="I1943" s="58">
        <v>65</v>
      </c>
      <c r="J1943" s="55"/>
      <c r="K1943" s="58">
        <v>65</v>
      </c>
      <c r="L1943" s="56"/>
      <c r="M1943" s="55"/>
      <c r="N1943" s="56"/>
      <c r="O1943" s="55"/>
      <c r="P1943" s="77">
        <v>119.97949999999999</v>
      </c>
    </row>
    <row r="1944" spans="1:16" ht="11.25" customHeight="1" x14ac:dyDescent="0.2">
      <c r="A1944" s="59"/>
      <c r="B1944" s="98"/>
      <c r="C1944" s="102" t="s">
        <v>63</v>
      </c>
      <c r="D1944" s="102"/>
      <c r="E1944" s="102"/>
      <c r="F1944" s="102"/>
      <c r="G1944" s="102"/>
      <c r="H1944" s="41"/>
      <c r="I1944" s="42"/>
      <c r="J1944" s="42"/>
      <c r="K1944" s="42"/>
      <c r="L1944" s="45"/>
      <c r="M1944" s="42"/>
      <c r="N1944" s="49">
        <v>3949.28</v>
      </c>
      <c r="O1944" s="42"/>
      <c r="P1944" s="50">
        <v>532.73749999999995</v>
      </c>
    </row>
    <row r="1945" spans="1:16" ht="11.25" customHeight="1" x14ac:dyDescent="0.2">
      <c r="A1945" s="39" t="s">
        <v>932</v>
      </c>
      <c r="B1945" s="97" t="s">
        <v>192</v>
      </c>
      <c r="C1945" s="103" t="s">
        <v>193</v>
      </c>
      <c r="D1945" s="103"/>
      <c r="E1945" s="103"/>
      <c r="F1945" s="103"/>
      <c r="G1945" s="103"/>
      <c r="H1945" s="41" t="s">
        <v>170</v>
      </c>
      <c r="I1945" s="42">
        <v>0.35893799999999998</v>
      </c>
      <c r="J1945" s="43">
        <v>1</v>
      </c>
      <c r="K1945" s="68">
        <v>0.35893799999999998</v>
      </c>
      <c r="L1945" s="45"/>
      <c r="M1945" s="42"/>
      <c r="N1945" s="49">
        <v>6212.75</v>
      </c>
      <c r="O1945" s="42"/>
      <c r="P1945" s="50">
        <v>3714.4884999999995</v>
      </c>
    </row>
    <row r="1946" spans="1:16" ht="11.25" customHeight="1" x14ac:dyDescent="0.2">
      <c r="A1946" s="59"/>
      <c r="B1946" s="98"/>
      <c r="C1946" s="102" t="s">
        <v>63</v>
      </c>
      <c r="D1946" s="102"/>
      <c r="E1946" s="102"/>
      <c r="F1946" s="102"/>
      <c r="G1946" s="102"/>
      <c r="H1946" s="41"/>
      <c r="I1946" s="42"/>
      <c r="J1946" s="42"/>
      <c r="K1946" s="42"/>
      <c r="L1946" s="45"/>
      <c r="M1946" s="42"/>
      <c r="N1946" s="45"/>
      <c r="O1946" s="42"/>
      <c r="P1946" s="50">
        <v>3714.4884999999995</v>
      </c>
    </row>
    <row r="1947" spans="1:16" ht="11.25" customHeight="1" x14ac:dyDescent="0.2">
      <c r="A1947" s="39" t="s">
        <v>933</v>
      </c>
      <c r="B1947" s="97" t="s">
        <v>199</v>
      </c>
      <c r="C1947" s="103" t="s">
        <v>200</v>
      </c>
      <c r="D1947" s="103"/>
      <c r="E1947" s="103"/>
      <c r="F1947" s="103"/>
      <c r="G1947" s="103"/>
      <c r="H1947" s="41" t="s">
        <v>55</v>
      </c>
      <c r="I1947" s="42">
        <v>0.1053</v>
      </c>
      <c r="J1947" s="43">
        <v>1</v>
      </c>
      <c r="K1947" s="44">
        <v>0.1053</v>
      </c>
      <c r="L1947" s="45"/>
      <c r="M1947" s="42"/>
      <c r="N1947" s="45"/>
      <c r="O1947" s="42"/>
      <c r="P1947" s="50"/>
    </row>
    <row r="1948" spans="1:16" ht="11.25" customHeight="1" x14ac:dyDescent="0.2">
      <c r="A1948" s="47"/>
      <c r="B1948" s="48"/>
      <c r="C1948" s="102" t="s">
        <v>56</v>
      </c>
      <c r="D1948" s="102"/>
      <c r="E1948" s="102"/>
      <c r="F1948" s="102"/>
      <c r="G1948" s="102"/>
      <c r="H1948" s="41"/>
      <c r="I1948" s="42"/>
      <c r="J1948" s="42"/>
      <c r="K1948" s="42"/>
      <c r="L1948" s="45"/>
      <c r="M1948" s="42"/>
      <c r="N1948" s="49"/>
      <c r="O1948" s="42"/>
      <c r="P1948" s="50">
        <v>20427.219999999998</v>
      </c>
    </row>
    <row r="1949" spans="1:16" ht="11.25" customHeight="1" x14ac:dyDescent="0.2">
      <c r="A1949" s="52"/>
      <c r="B1949" s="53"/>
      <c r="C1949" s="104" t="s">
        <v>57</v>
      </c>
      <c r="D1949" s="104"/>
      <c r="E1949" s="104"/>
      <c r="F1949" s="104"/>
      <c r="G1949" s="104"/>
      <c r="H1949" s="54"/>
      <c r="I1949" s="55"/>
      <c r="J1949" s="55"/>
      <c r="K1949" s="55"/>
      <c r="L1949" s="56"/>
      <c r="M1949" s="55"/>
      <c r="N1949" s="56"/>
      <c r="O1949" s="55"/>
      <c r="P1949" s="77">
        <v>20289.035999999996</v>
      </c>
    </row>
    <row r="1950" spans="1:16" ht="11.25" customHeight="1" x14ac:dyDescent="0.2">
      <c r="A1950" s="52"/>
      <c r="B1950" s="53" t="s">
        <v>187</v>
      </c>
      <c r="C1950" s="104" t="s">
        <v>188</v>
      </c>
      <c r="D1950" s="104"/>
      <c r="E1950" s="104"/>
      <c r="F1950" s="104"/>
      <c r="G1950" s="104"/>
      <c r="H1950" s="54" t="s">
        <v>60</v>
      </c>
      <c r="I1950" s="58">
        <v>112</v>
      </c>
      <c r="J1950" s="55"/>
      <c r="K1950" s="58">
        <v>112</v>
      </c>
      <c r="L1950" s="56"/>
      <c r="M1950" s="55"/>
      <c r="N1950" s="56"/>
      <c r="O1950" s="55"/>
      <c r="P1950" s="77">
        <v>22723.723999999995</v>
      </c>
    </row>
    <row r="1951" spans="1:16" ht="11.25" customHeight="1" x14ac:dyDescent="0.2">
      <c r="A1951" s="52"/>
      <c r="B1951" s="53" t="s">
        <v>189</v>
      </c>
      <c r="C1951" s="104" t="s">
        <v>190</v>
      </c>
      <c r="D1951" s="104"/>
      <c r="E1951" s="104"/>
      <c r="F1951" s="104"/>
      <c r="G1951" s="104"/>
      <c r="H1951" s="54" t="s">
        <v>60</v>
      </c>
      <c r="I1951" s="58">
        <v>65</v>
      </c>
      <c r="J1951" s="55"/>
      <c r="K1951" s="58">
        <v>65</v>
      </c>
      <c r="L1951" s="56"/>
      <c r="M1951" s="55"/>
      <c r="N1951" s="56"/>
      <c r="O1951" s="55"/>
      <c r="P1951" s="77">
        <v>13187.877999999999</v>
      </c>
    </row>
    <row r="1952" spans="1:16" ht="11.25" customHeight="1" x14ac:dyDescent="0.2">
      <c r="A1952" s="59"/>
      <c r="B1952" s="98"/>
      <c r="C1952" s="102" t="s">
        <v>63</v>
      </c>
      <c r="D1952" s="102"/>
      <c r="E1952" s="102"/>
      <c r="F1952" s="102"/>
      <c r="G1952" s="102"/>
      <c r="H1952" s="41"/>
      <c r="I1952" s="42"/>
      <c r="J1952" s="42"/>
      <c r="K1952" s="42"/>
      <c r="L1952" s="45"/>
      <c r="M1952" s="42"/>
      <c r="N1952" s="49">
        <v>326601.87</v>
      </c>
      <c r="O1952" s="42"/>
      <c r="P1952" s="50">
        <v>56338.821999999993</v>
      </c>
    </row>
    <row r="1953" spans="1:16" ht="11.25" customHeight="1" x14ac:dyDescent="0.2">
      <c r="A1953" s="39" t="s">
        <v>934</v>
      </c>
      <c r="B1953" s="97" t="s">
        <v>202</v>
      </c>
      <c r="C1953" s="103" t="s">
        <v>203</v>
      </c>
      <c r="D1953" s="103"/>
      <c r="E1953" s="103"/>
      <c r="F1953" s="103"/>
      <c r="G1953" s="103"/>
      <c r="H1953" s="41" t="s">
        <v>67</v>
      </c>
      <c r="I1953" s="42">
        <v>3</v>
      </c>
      <c r="J1953" s="43">
        <v>1</v>
      </c>
      <c r="K1953" s="43">
        <v>3</v>
      </c>
      <c r="L1953" s="49">
        <v>1284.05</v>
      </c>
      <c r="M1953" s="67">
        <v>1.2</v>
      </c>
      <c r="N1953" s="49">
        <v>1540.86</v>
      </c>
      <c r="O1953" s="42"/>
      <c r="P1953" s="50">
        <v>5315.9669999999996</v>
      </c>
    </row>
    <row r="1954" spans="1:16" ht="11.25" customHeight="1" x14ac:dyDescent="0.2">
      <c r="A1954" s="59"/>
      <c r="B1954" s="98"/>
      <c r="C1954" s="102" t="s">
        <v>63</v>
      </c>
      <c r="D1954" s="102"/>
      <c r="E1954" s="102"/>
      <c r="F1954" s="102"/>
      <c r="G1954" s="102"/>
      <c r="H1954" s="41"/>
      <c r="I1954" s="42"/>
      <c r="J1954" s="42"/>
      <c r="K1954" s="42"/>
      <c r="L1954" s="45"/>
      <c r="M1954" s="42"/>
      <c r="N1954" s="45"/>
      <c r="O1954" s="42"/>
      <c r="P1954" s="50">
        <v>5315.9669999999996</v>
      </c>
    </row>
    <row r="1955" spans="1:16" ht="11.25" customHeight="1" x14ac:dyDescent="0.2">
      <c r="A1955" s="39" t="s">
        <v>935</v>
      </c>
      <c r="B1955" s="97" t="s">
        <v>205</v>
      </c>
      <c r="C1955" s="103" t="s">
        <v>206</v>
      </c>
      <c r="D1955" s="103"/>
      <c r="E1955" s="103"/>
      <c r="F1955" s="103"/>
      <c r="G1955" s="103"/>
      <c r="H1955" s="41" t="s">
        <v>71</v>
      </c>
      <c r="I1955" s="42">
        <v>0.18</v>
      </c>
      <c r="J1955" s="43">
        <v>1</v>
      </c>
      <c r="K1955" s="62">
        <v>0.18</v>
      </c>
      <c r="L1955" s="49">
        <v>36038.35</v>
      </c>
      <c r="M1955" s="62">
        <v>1.1399999999999999</v>
      </c>
      <c r="N1955" s="49">
        <v>41083.72</v>
      </c>
      <c r="O1955" s="42"/>
      <c r="P1955" s="50">
        <v>8504.3304999999982</v>
      </c>
    </row>
    <row r="1956" spans="1:16" ht="11.25" customHeight="1" x14ac:dyDescent="0.2">
      <c r="A1956" s="59"/>
      <c r="B1956" s="98"/>
      <c r="C1956" s="102" t="s">
        <v>63</v>
      </c>
      <c r="D1956" s="102"/>
      <c r="E1956" s="102"/>
      <c r="F1956" s="102"/>
      <c r="G1956" s="102"/>
      <c r="H1956" s="41"/>
      <c r="I1956" s="42"/>
      <c r="J1956" s="42"/>
      <c r="K1956" s="42"/>
      <c r="L1956" s="45"/>
      <c r="M1956" s="42"/>
      <c r="N1956" s="45"/>
      <c r="O1956" s="42"/>
      <c r="P1956" s="50">
        <v>8504.3304999999982</v>
      </c>
    </row>
    <row r="1957" spans="1:16" ht="11.25" customHeight="1" x14ac:dyDescent="0.2">
      <c r="A1957" s="39" t="s">
        <v>936</v>
      </c>
      <c r="B1957" s="97" t="s">
        <v>208</v>
      </c>
      <c r="C1957" s="103" t="s">
        <v>305</v>
      </c>
      <c r="D1957" s="103"/>
      <c r="E1957" s="103"/>
      <c r="F1957" s="103"/>
      <c r="G1957" s="103"/>
      <c r="H1957" s="41" t="s">
        <v>105</v>
      </c>
      <c r="I1957" s="42">
        <v>11.05</v>
      </c>
      <c r="J1957" s="43">
        <v>1</v>
      </c>
      <c r="K1957" s="67">
        <v>11.05</v>
      </c>
      <c r="L1957" s="61">
        <v>603.37</v>
      </c>
      <c r="M1957" s="62">
        <v>1.25</v>
      </c>
      <c r="N1957" s="61">
        <v>754.21</v>
      </c>
      <c r="O1957" s="42"/>
      <c r="P1957" s="50">
        <v>13270.321499999998</v>
      </c>
    </row>
    <row r="1958" spans="1:16" ht="11.25" customHeight="1" x14ac:dyDescent="0.2">
      <c r="A1958" s="59"/>
      <c r="B1958" s="98"/>
      <c r="C1958" s="102" t="s">
        <v>63</v>
      </c>
      <c r="D1958" s="102"/>
      <c r="E1958" s="102"/>
      <c r="F1958" s="102"/>
      <c r="G1958" s="102"/>
      <c r="H1958" s="41"/>
      <c r="I1958" s="42"/>
      <c r="J1958" s="42"/>
      <c r="K1958" s="42"/>
      <c r="L1958" s="45"/>
      <c r="M1958" s="42"/>
      <c r="N1958" s="45"/>
      <c r="O1958" s="42"/>
      <c r="P1958" s="50">
        <v>13270.321499999998</v>
      </c>
    </row>
    <row r="1959" spans="1:16" ht="11.25" customHeight="1" x14ac:dyDescent="0.2">
      <c r="A1959" s="107" t="s">
        <v>210</v>
      </c>
      <c r="B1959" s="108"/>
      <c r="C1959" s="108"/>
      <c r="D1959" s="108"/>
      <c r="E1959" s="108"/>
      <c r="F1959" s="108"/>
      <c r="G1959" s="108"/>
      <c r="H1959" s="108"/>
      <c r="I1959" s="108"/>
      <c r="J1959" s="108"/>
      <c r="K1959" s="108"/>
      <c r="L1959" s="108"/>
      <c r="M1959" s="108"/>
      <c r="N1959" s="108"/>
      <c r="O1959" s="108"/>
      <c r="P1959" s="109"/>
    </row>
    <row r="1960" spans="1:16" ht="11.25" customHeight="1" x14ac:dyDescent="0.2">
      <c r="A1960" s="39" t="s">
        <v>937</v>
      </c>
      <c r="B1960" s="97" t="s">
        <v>212</v>
      </c>
      <c r="C1960" s="103" t="s">
        <v>213</v>
      </c>
      <c r="D1960" s="103"/>
      <c r="E1960" s="103"/>
      <c r="F1960" s="103"/>
      <c r="G1960" s="103"/>
      <c r="H1960" s="41" t="s">
        <v>214</v>
      </c>
      <c r="I1960" s="42">
        <v>0.1</v>
      </c>
      <c r="J1960" s="43">
        <v>1</v>
      </c>
      <c r="K1960" s="67">
        <v>0.1</v>
      </c>
      <c r="L1960" s="45"/>
      <c r="M1960" s="42"/>
      <c r="N1960" s="45"/>
      <c r="O1960" s="42"/>
      <c r="P1960" s="46"/>
    </row>
    <row r="1961" spans="1:16" ht="11.25" customHeight="1" x14ac:dyDescent="0.2">
      <c r="A1961" s="47"/>
      <c r="B1961" s="48"/>
      <c r="C1961" s="102" t="s">
        <v>56</v>
      </c>
      <c r="D1961" s="102"/>
      <c r="E1961" s="102"/>
      <c r="F1961" s="102"/>
      <c r="G1961" s="102"/>
      <c r="H1961" s="41"/>
      <c r="I1961" s="42"/>
      <c r="J1961" s="42"/>
      <c r="K1961" s="42"/>
      <c r="L1961" s="45"/>
      <c r="M1961" s="42"/>
      <c r="N1961" s="49"/>
      <c r="O1961" s="42"/>
      <c r="P1961" s="50">
        <v>442.25549999999998</v>
      </c>
    </row>
    <row r="1962" spans="1:16" ht="11.25" customHeight="1" x14ac:dyDescent="0.2">
      <c r="A1962" s="52"/>
      <c r="B1962" s="53"/>
      <c r="C1962" s="104" t="s">
        <v>57</v>
      </c>
      <c r="D1962" s="104"/>
      <c r="E1962" s="104"/>
      <c r="F1962" s="104"/>
      <c r="G1962" s="104"/>
      <c r="H1962" s="54"/>
      <c r="I1962" s="55"/>
      <c r="J1962" s="55"/>
      <c r="K1962" s="55"/>
      <c r="L1962" s="56"/>
      <c r="M1962" s="55"/>
      <c r="N1962" s="56"/>
      <c r="O1962" s="55"/>
      <c r="P1962" s="77">
        <v>389.29799999999994</v>
      </c>
    </row>
    <row r="1963" spans="1:16" ht="11.25" customHeight="1" x14ac:dyDescent="0.2">
      <c r="A1963" s="52"/>
      <c r="B1963" s="53" t="s">
        <v>215</v>
      </c>
      <c r="C1963" s="104" t="s">
        <v>216</v>
      </c>
      <c r="D1963" s="104"/>
      <c r="E1963" s="104"/>
      <c r="F1963" s="104"/>
      <c r="G1963" s="104"/>
      <c r="H1963" s="54" t="s">
        <v>60</v>
      </c>
      <c r="I1963" s="58">
        <v>121</v>
      </c>
      <c r="J1963" s="55"/>
      <c r="K1963" s="58">
        <v>121</v>
      </c>
      <c r="L1963" s="56"/>
      <c r="M1963" s="55"/>
      <c r="N1963" s="56"/>
      <c r="O1963" s="55"/>
      <c r="P1963" s="77">
        <v>471.05149999999998</v>
      </c>
    </row>
    <row r="1964" spans="1:16" ht="11.25" customHeight="1" x14ac:dyDescent="0.2">
      <c r="A1964" s="52"/>
      <c r="B1964" s="53" t="s">
        <v>217</v>
      </c>
      <c r="C1964" s="104" t="s">
        <v>218</v>
      </c>
      <c r="D1964" s="104"/>
      <c r="E1964" s="104"/>
      <c r="F1964" s="104"/>
      <c r="G1964" s="104"/>
      <c r="H1964" s="54" t="s">
        <v>60</v>
      </c>
      <c r="I1964" s="58">
        <v>72</v>
      </c>
      <c r="J1964" s="55"/>
      <c r="K1964" s="58">
        <v>72</v>
      </c>
      <c r="L1964" s="56"/>
      <c r="M1964" s="55"/>
      <c r="N1964" s="56"/>
      <c r="O1964" s="55"/>
      <c r="P1964" s="77">
        <v>280.28949999999998</v>
      </c>
    </row>
    <row r="1965" spans="1:16" ht="11.25" customHeight="1" x14ac:dyDescent="0.2">
      <c r="A1965" s="59"/>
      <c r="B1965" s="98"/>
      <c r="C1965" s="102" t="s">
        <v>63</v>
      </c>
      <c r="D1965" s="102"/>
      <c r="E1965" s="102"/>
      <c r="F1965" s="102"/>
      <c r="G1965" s="102"/>
      <c r="H1965" s="41"/>
      <c r="I1965" s="42"/>
      <c r="J1965" s="42"/>
      <c r="K1965" s="42"/>
      <c r="L1965" s="45"/>
      <c r="M1965" s="42"/>
      <c r="N1965" s="49">
        <v>10379.1</v>
      </c>
      <c r="O1965" s="42"/>
      <c r="P1965" s="50">
        <v>1193.5965000000001</v>
      </c>
    </row>
    <row r="1966" spans="1:16" ht="11.25" customHeight="1" x14ac:dyDescent="0.2">
      <c r="A1966" s="39" t="s">
        <v>938</v>
      </c>
      <c r="B1966" s="97" t="s">
        <v>220</v>
      </c>
      <c r="C1966" s="103" t="s">
        <v>221</v>
      </c>
      <c r="D1966" s="103"/>
      <c r="E1966" s="103"/>
      <c r="F1966" s="103"/>
      <c r="G1966" s="103"/>
      <c r="H1966" s="41" t="s">
        <v>222</v>
      </c>
      <c r="I1966" s="42">
        <v>1</v>
      </c>
      <c r="J1966" s="43">
        <v>1</v>
      </c>
      <c r="K1966" s="43">
        <v>1</v>
      </c>
      <c r="L1966" s="49">
        <v>8514.9500000000007</v>
      </c>
      <c r="M1966" s="62">
        <v>1.17</v>
      </c>
      <c r="N1966" s="49">
        <v>9962.49</v>
      </c>
      <c r="O1966" s="42"/>
      <c r="P1966" s="50">
        <v>11456.863499999999</v>
      </c>
    </row>
    <row r="1967" spans="1:16" ht="11.25" customHeight="1" x14ac:dyDescent="0.2">
      <c r="A1967" s="59"/>
      <c r="B1967" s="98"/>
      <c r="C1967" s="102" t="s">
        <v>63</v>
      </c>
      <c r="D1967" s="102"/>
      <c r="E1967" s="102"/>
      <c r="F1967" s="102"/>
      <c r="G1967" s="102"/>
      <c r="H1967" s="41"/>
      <c r="I1967" s="42"/>
      <c r="J1967" s="42"/>
      <c r="K1967" s="42"/>
      <c r="L1967" s="45"/>
      <c r="M1967" s="42"/>
      <c r="N1967" s="45"/>
      <c r="O1967" s="42"/>
      <c r="P1967" s="50">
        <v>11456.863499999999</v>
      </c>
    </row>
    <row r="1968" spans="1:16" ht="11.25" customHeight="1" x14ac:dyDescent="0.2">
      <c r="A1968" s="39" t="s">
        <v>919</v>
      </c>
      <c r="B1968" s="97" t="s">
        <v>306</v>
      </c>
      <c r="C1968" s="103" t="s">
        <v>307</v>
      </c>
      <c r="D1968" s="103"/>
      <c r="E1968" s="103"/>
      <c r="F1968" s="103"/>
      <c r="G1968" s="103"/>
      <c r="H1968" s="41" t="s">
        <v>75</v>
      </c>
      <c r="I1968" s="42">
        <v>0.03</v>
      </c>
      <c r="J1968" s="43">
        <v>1</v>
      </c>
      <c r="K1968" s="62">
        <v>0.03</v>
      </c>
      <c r="L1968" s="45"/>
      <c r="M1968" s="42"/>
      <c r="N1968" s="45"/>
      <c r="O1968" s="42"/>
      <c r="P1968" s="50"/>
    </row>
    <row r="1969" spans="1:16" ht="11.25" customHeight="1" x14ac:dyDescent="0.2">
      <c r="A1969" s="47"/>
      <c r="B1969" s="48"/>
      <c r="C1969" s="102" t="s">
        <v>56</v>
      </c>
      <c r="D1969" s="102"/>
      <c r="E1969" s="102"/>
      <c r="F1969" s="102"/>
      <c r="G1969" s="102"/>
      <c r="H1969" s="41"/>
      <c r="I1969" s="42"/>
      <c r="J1969" s="42"/>
      <c r="K1969" s="42"/>
      <c r="L1969" s="45"/>
      <c r="M1969" s="42"/>
      <c r="N1969" s="49"/>
      <c r="O1969" s="42"/>
      <c r="P1969" s="50">
        <v>3628.2</v>
      </c>
    </row>
    <row r="1970" spans="1:16" ht="11.25" customHeight="1" x14ac:dyDescent="0.2">
      <c r="A1970" s="52"/>
      <c r="B1970" s="53"/>
      <c r="C1970" s="104" t="s">
        <v>57</v>
      </c>
      <c r="D1970" s="104"/>
      <c r="E1970" s="104"/>
      <c r="F1970" s="104"/>
      <c r="G1970" s="104"/>
      <c r="H1970" s="54"/>
      <c r="I1970" s="55"/>
      <c r="J1970" s="55"/>
      <c r="K1970" s="55"/>
      <c r="L1970" s="56"/>
      <c r="M1970" s="55"/>
      <c r="N1970" s="56"/>
      <c r="O1970" s="55"/>
      <c r="P1970" s="77"/>
    </row>
    <row r="1971" spans="1:16" ht="11.25" customHeight="1" x14ac:dyDescent="0.2">
      <c r="A1971" s="52"/>
      <c r="B1971" s="53" t="s">
        <v>225</v>
      </c>
      <c r="C1971" s="104" t="s">
        <v>226</v>
      </c>
      <c r="D1971" s="104"/>
      <c r="E1971" s="104"/>
      <c r="F1971" s="104"/>
      <c r="G1971" s="104"/>
      <c r="H1971" s="54" t="s">
        <v>60</v>
      </c>
      <c r="I1971" s="58">
        <v>103</v>
      </c>
      <c r="J1971" s="55"/>
      <c r="K1971" s="58">
        <v>103</v>
      </c>
      <c r="L1971" s="56"/>
      <c r="M1971" s="55"/>
      <c r="N1971" s="56"/>
      <c r="O1971" s="55"/>
      <c r="P1971" s="77"/>
    </row>
    <row r="1972" spans="1:16" ht="11.25" customHeight="1" x14ac:dyDescent="0.2">
      <c r="A1972" s="52"/>
      <c r="B1972" s="53" t="s">
        <v>227</v>
      </c>
      <c r="C1972" s="104" t="s">
        <v>228</v>
      </c>
      <c r="D1972" s="104"/>
      <c r="E1972" s="104"/>
      <c r="F1972" s="104"/>
      <c r="G1972" s="104"/>
      <c r="H1972" s="54" t="s">
        <v>60</v>
      </c>
      <c r="I1972" s="58">
        <v>52</v>
      </c>
      <c r="J1972" s="55"/>
      <c r="K1972" s="58">
        <v>52</v>
      </c>
      <c r="L1972" s="56"/>
      <c r="M1972" s="55"/>
      <c r="N1972" s="56"/>
      <c r="O1972" s="55"/>
      <c r="P1972" s="77">
        <v>8594.8239999999987</v>
      </c>
    </row>
    <row r="1973" spans="1:16" ht="11.25" customHeight="1" x14ac:dyDescent="0.2">
      <c r="A1973" s="59"/>
      <c r="B1973" s="98"/>
      <c r="C1973" s="102" t="s">
        <v>63</v>
      </c>
      <c r="D1973" s="102"/>
      <c r="E1973" s="102"/>
      <c r="F1973" s="102"/>
      <c r="G1973" s="102"/>
      <c r="H1973" s="41"/>
      <c r="I1973" s="42"/>
      <c r="J1973" s="42"/>
      <c r="K1973" s="42"/>
      <c r="L1973" s="45"/>
      <c r="M1973" s="42"/>
      <c r="N1973" s="49">
        <v>1837308.5</v>
      </c>
      <c r="O1973" s="42"/>
      <c r="P1973" s="50">
        <v>10884.599999999999</v>
      </c>
    </row>
    <row r="1974" spans="1:16" ht="11.25" customHeight="1" x14ac:dyDescent="0.2">
      <c r="A1974" s="39" t="s">
        <v>920</v>
      </c>
      <c r="B1974" s="97" t="s">
        <v>230</v>
      </c>
      <c r="C1974" s="105" t="s">
        <v>316</v>
      </c>
      <c r="D1974" s="105"/>
      <c r="E1974" s="105"/>
      <c r="F1974" s="105"/>
      <c r="G1974" s="105"/>
      <c r="H1974" s="41" t="s">
        <v>222</v>
      </c>
      <c r="I1974" s="42">
        <v>3</v>
      </c>
      <c r="J1974" s="43">
        <v>1</v>
      </c>
      <c r="K1974" s="43">
        <v>3</v>
      </c>
      <c r="L1974" s="49">
        <v>3432.22</v>
      </c>
      <c r="M1974" s="67">
        <v>1.3</v>
      </c>
      <c r="N1974" s="49">
        <f>4461.89+1500</f>
        <v>5961.89</v>
      </c>
      <c r="O1974" s="42"/>
      <c r="P1974" s="50">
        <v>21762.346999999998</v>
      </c>
    </row>
    <row r="1975" spans="1:16" ht="11.25" customHeight="1" x14ac:dyDescent="0.2">
      <c r="A1975" s="59"/>
      <c r="B1975" s="98"/>
      <c r="C1975" s="106" t="s">
        <v>63</v>
      </c>
      <c r="D1975" s="106"/>
      <c r="E1975" s="106"/>
      <c r="F1975" s="106"/>
      <c r="G1975" s="106"/>
      <c r="H1975" s="41"/>
      <c r="I1975" s="42"/>
      <c r="J1975" s="42"/>
      <c r="K1975" s="42"/>
      <c r="L1975" s="45"/>
      <c r="M1975" s="42"/>
      <c r="N1975" s="45"/>
      <c r="O1975" s="42"/>
      <c r="P1975" s="50">
        <v>21762.346999999998</v>
      </c>
    </row>
    <row r="1976" spans="1:16" ht="11.25" customHeight="1" x14ac:dyDescent="0.2">
      <c r="A1976" s="39" t="s">
        <v>921</v>
      </c>
      <c r="B1976" s="97" t="s">
        <v>233</v>
      </c>
      <c r="C1976" s="103" t="s">
        <v>234</v>
      </c>
      <c r="D1976" s="103"/>
      <c r="E1976" s="103"/>
      <c r="F1976" s="103"/>
      <c r="G1976" s="103"/>
      <c r="H1976" s="41" t="s">
        <v>75</v>
      </c>
      <c r="I1976" s="42">
        <v>0.03</v>
      </c>
      <c r="J1976" s="43">
        <v>1</v>
      </c>
      <c r="K1976" s="62">
        <v>0.03</v>
      </c>
      <c r="L1976" s="45"/>
      <c r="M1976" s="42"/>
      <c r="N1976" s="45"/>
      <c r="O1976" s="42"/>
      <c r="P1976" s="50"/>
    </row>
    <row r="1977" spans="1:16" ht="11.25" customHeight="1" x14ac:dyDescent="0.2">
      <c r="A1977" s="47"/>
      <c r="B1977" s="48"/>
      <c r="C1977" s="102" t="s">
        <v>56</v>
      </c>
      <c r="D1977" s="102"/>
      <c r="E1977" s="102"/>
      <c r="F1977" s="102"/>
      <c r="G1977" s="102"/>
      <c r="H1977" s="41"/>
      <c r="I1977" s="42"/>
      <c r="J1977" s="42"/>
      <c r="K1977" s="42"/>
      <c r="L1977" s="45"/>
      <c r="M1977" s="42"/>
      <c r="N1977" s="49"/>
      <c r="O1977" s="42"/>
      <c r="P1977" s="50">
        <v>951.78599999999994</v>
      </c>
    </row>
    <row r="1978" spans="1:16" ht="11.25" customHeight="1" x14ac:dyDescent="0.2">
      <c r="A1978" s="52"/>
      <c r="B1978" s="53"/>
      <c r="C1978" s="104" t="s">
        <v>57</v>
      </c>
      <c r="D1978" s="104"/>
      <c r="E1978" s="104"/>
      <c r="F1978" s="104"/>
      <c r="G1978" s="104"/>
      <c r="H1978" s="54"/>
      <c r="I1978" s="55"/>
      <c r="J1978" s="55"/>
      <c r="K1978" s="55"/>
      <c r="L1978" s="56"/>
      <c r="M1978" s="55"/>
      <c r="N1978" s="56"/>
      <c r="O1978" s="55"/>
      <c r="P1978" s="77">
        <v>652.09599999999989</v>
      </c>
    </row>
    <row r="1979" spans="1:16" ht="11.25" customHeight="1" x14ac:dyDescent="0.2">
      <c r="A1979" s="52"/>
      <c r="B1979" s="53" t="s">
        <v>225</v>
      </c>
      <c r="C1979" s="104" t="s">
        <v>226</v>
      </c>
      <c r="D1979" s="104"/>
      <c r="E1979" s="104"/>
      <c r="F1979" s="104"/>
      <c r="G1979" s="104"/>
      <c r="H1979" s="54" t="s">
        <v>60</v>
      </c>
      <c r="I1979" s="58">
        <v>103</v>
      </c>
      <c r="J1979" s="55"/>
      <c r="K1979" s="58">
        <v>103</v>
      </c>
      <c r="L1979" s="56"/>
      <c r="M1979" s="55"/>
      <c r="N1979" s="56"/>
      <c r="O1979" s="55"/>
      <c r="P1979" s="77">
        <v>671.65749999999991</v>
      </c>
    </row>
    <row r="1980" spans="1:16" ht="11.25" customHeight="1" x14ac:dyDescent="0.2">
      <c r="A1980" s="52"/>
      <c r="B1980" s="53" t="s">
        <v>227</v>
      </c>
      <c r="C1980" s="104" t="s">
        <v>228</v>
      </c>
      <c r="D1980" s="104"/>
      <c r="E1980" s="104"/>
      <c r="F1980" s="104"/>
      <c r="G1980" s="104"/>
      <c r="H1980" s="54" t="s">
        <v>60</v>
      </c>
      <c r="I1980" s="58">
        <v>52</v>
      </c>
      <c r="J1980" s="55"/>
      <c r="K1980" s="58">
        <v>52</v>
      </c>
      <c r="L1980" s="56"/>
      <c r="M1980" s="55"/>
      <c r="N1980" s="56"/>
      <c r="O1980" s="55"/>
      <c r="P1980" s="77">
        <v>339.089</v>
      </c>
    </row>
    <row r="1981" spans="1:16" ht="11.25" customHeight="1" x14ac:dyDescent="0.2">
      <c r="A1981" s="59"/>
      <c r="B1981" s="98"/>
      <c r="C1981" s="102" t="s">
        <v>63</v>
      </c>
      <c r="D1981" s="102"/>
      <c r="E1981" s="102"/>
      <c r="F1981" s="102"/>
      <c r="G1981" s="102"/>
      <c r="H1981" s="41"/>
      <c r="I1981" s="42"/>
      <c r="J1981" s="42"/>
      <c r="K1981" s="42"/>
      <c r="L1981" s="45"/>
      <c r="M1981" s="42"/>
      <c r="N1981" s="49">
        <v>85327.5</v>
      </c>
      <c r="O1981" s="42"/>
      <c r="P1981" s="50">
        <v>1962.5324999999998</v>
      </c>
    </row>
    <row r="1982" spans="1:16" ht="11.25" customHeight="1" x14ac:dyDescent="0.2">
      <c r="A1982" s="39" t="s">
        <v>922</v>
      </c>
      <c r="B1982" s="97" t="s">
        <v>236</v>
      </c>
      <c r="C1982" s="103" t="s">
        <v>237</v>
      </c>
      <c r="D1982" s="103"/>
      <c r="E1982" s="103"/>
      <c r="F1982" s="103"/>
      <c r="G1982" s="103"/>
      <c r="H1982" s="41" t="s">
        <v>222</v>
      </c>
      <c r="I1982" s="42">
        <v>3</v>
      </c>
      <c r="J1982" s="43">
        <v>1</v>
      </c>
      <c r="K1982" s="43">
        <v>3</v>
      </c>
      <c r="L1982" s="61">
        <v>237.33</v>
      </c>
      <c r="M1982" s="62">
        <v>1.1299999999999999</v>
      </c>
      <c r="N1982" s="61">
        <v>268.18</v>
      </c>
      <c r="O1982" s="42"/>
      <c r="P1982" s="50">
        <v>925.22099999999989</v>
      </c>
    </row>
    <row r="1983" spans="1:16" ht="11.25" customHeight="1" x14ac:dyDescent="0.2">
      <c r="A1983" s="59"/>
      <c r="B1983" s="98"/>
      <c r="C1983" s="102" t="s">
        <v>63</v>
      </c>
      <c r="D1983" s="102"/>
      <c r="E1983" s="102"/>
      <c r="F1983" s="102"/>
      <c r="G1983" s="102"/>
      <c r="H1983" s="41"/>
      <c r="I1983" s="42"/>
      <c r="J1983" s="42"/>
      <c r="K1983" s="42"/>
      <c r="L1983" s="45"/>
      <c r="M1983" s="42"/>
      <c r="N1983" s="45"/>
      <c r="O1983" s="42"/>
      <c r="P1983" s="50">
        <v>925.22099999999989</v>
      </c>
    </row>
    <row r="1984" spans="1:16" ht="11.25" customHeight="1" x14ac:dyDescent="0.2">
      <c r="A1984" s="39" t="s">
        <v>923</v>
      </c>
      <c r="B1984" s="97" t="s">
        <v>239</v>
      </c>
      <c r="C1984" s="103" t="s">
        <v>240</v>
      </c>
      <c r="D1984" s="103"/>
      <c r="E1984" s="103"/>
      <c r="F1984" s="103"/>
      <c r="G1984" s="103"/>
      <c r="H1984" s="41" t="s">
        <v>125</v>
      </c>
      <c r="I1984" s="42">
        <v>0.02</v>
      </c>
      <c r="J1984" s="43">
        <v>1</v>
      </c>
      <c r="K1984" s="62">
        <v>0.02</v>
      </c>
      <c r="L1984" s="45"/>
      <c r="M1984" s="42"/>
      <c r="N1984" s="45"/>
      <c r="O1984" s="42"/>
      <c r="P1984" s="50"/>
    </row>
    <row r="1985" spans="1:16" ht="11.25" customHeight="1" x14ac:dyDescent="0.2">
      <c r="A1985" s="47"/>
      <c r="B1985" s="48"/>
      <c r="C1985" s="102" t="s">
        <v>56</v>
      </c>
      <c r="D1985" s="102"/>
      <c r="E1985" s="102"/>
      <c r="F1985" s="102"/>
      <c r="G1985" s="102"/>
      <c r="H1985" s="41"/>
      <c r="I1985" s="42"/>
      <c r="J1985" s="42"/>
      <c r="K1985" s="42"/>
      <c r="L1985" s="45"/>
      <c r="M1985" s="42"/>
      <c r="N1985" s="49"/>
      <c r="O1985" s="42"/>
      <c r="P1985" s="50">
        <v>559.98099999999999</v>
      </c>
    </row>
    <row r="1986" spans="1:16" ht="11.25" customHeight="1" x14ac:dyDescent="0.2">
      <c r="A1986" s="52"/>
      <c r="B1986" s="53"/>
      <c r="C1986" s="104" t="s">
        <v>57</v>
      </c>
      <c r="D1986" s="104"/>
      <c r="E1986" s="104"/>
      <c r="F1986" s="104"/>
      <c r="G1986" s="104"/>
      <c r="H1986" s="54"/>
      <c r="I1986" s="55"/>
      <c r="J1986" s="55"/>
      <c r="K1986" s="55"/>
      <c r="L1986" s="56"/>
      <c r="M1986" s="55"/>
      <c r="N1986" s="56"/>
      <c r="O1986" s="55"/>
      <c r="P1986" s="77">
        <v>549.83799999999997</v>
      </c>
    </row>
    <row r="1987" spans="1:16" ht="11.25" customHeight="1" x14ac:dyDescent="0.2">
      <c r="A1987" s="52"/>
      <c r="B1987" s="53" t="s">
        <v>215</v>
      </c>
      <c r="C1987" s="104" t="s">
        <v>216</v>
      </c>
      <c r="D1987" s="104"/>
      <c r="E1987" s="104"/>
      <c r="F1987" s="104"/>
      <c r="G1987" s="104"/>
      <c r="H1987" s="54" t="s">
        <v>60</v>
      </c>
      <c r="I1987" s="58">
        <v>121</v>
      </c>
      <c r="J1987" s="55"/>
      <c r="K1987" s="58">
        <v>121</v>
      </c>
      <c r="L1987" s="56"/>
      <c r="M1987" s="55"/>
      <c r="N1987" s="56"/>
      <c r="O1987" s="55"/>
      <c r="P1987" s="77">
        <v>665.30949999999996</v>
      </c>
    </row>
    <row r="1988" spans="1:16" ht="11.25" customHeight="1" x14ac:dyDescent="0.2">
      <c r="A1988" s="52"/>
      <c r="B1988" s="53" t="s">
        <v>217</v>
      </c>
      <c r="C1988" s="104" t="s">
        <v>218</v>
      </c>
      <c r="D1988" s="104"/>
      <c r="E1988" s="104"/>
      <c r="F1988" s="104"/>
      <c r="G1988" s="104"/>
      <c r="H1988" s="54" t="s">
        <v>60</v>
      </c>
      <c r="I1988" s="58">
        <v>72</v>
      </c>
      <c r="J1988" s="55"/>
      <c r="K1988" s="58">
        <v>72</v>
      </c>
      <c r="L1988" s="56"/>
      <c r="M1988" s="55"/>
      <c r="N1988" s="56"/>
      <c r="O1988" s="55"/>
      <c r="P1988" s="77">
        <v>395.88749999999999</v>
      </c>
    </row>
    <row r="1989" spans="1:16" ht="11.25" customHeight="1" x14ac:dyDescent="0.2">
      <c r="A1989" s="59"/>
      <c r="B1989" s="98"/>
      <c r="C1989" s="102" t="s">
        <v>63</v>
      </c>
      <c r="D1989" s="102"/>
      <c r="E1989" s="102"/>
      <c r="F1989" s="102"/>
      <c r="G1989" s="102"/>
      <c r="H1989" s="41"/>
      <c r="I1989" s="42"/>
      <c r="J1989" s="42"/>
      <c r="K1989" s="42"/>
      <c r="L1989" s="45"/>
      <c r="M1989" s="42"/>
      <c r="N1989" s="49">
        <v>70486</v>
      </c>
      <c r="O1989" s="42"/>
      <c r="P1989" s="50">
        <v>1621.1779999999999</v>
      </c>
    </row>
    <row r="1990" spans="1:16" ht="11.25" customHeight="1" x14ac:dyDescent="0.2">
      <c r="A1990" s="39" t="s">
        <v>924</v>
      </c>
      <c r="B1990" s="97" t="s">
        <v>242</v>
      </c>
      <c r="C1990" s="103" t="s">
        <v>243</v>
      </c>
      <c r="D1990" s="103"/>
      <c r="E1990" s="103"/>
      <c r="F1990" s="103"/>
      <c r="G1990" s="103"/>
      <c r="H1990" s="41" t="s">
        <v>244</v>
      </c>
      <c r="I1990" s="42">
        <v>1.996</v>
      </c>
      <c r="J1990" s="43">
        <v>1</v>
      </c>
      <c r="K1990" s="66">
        <v>1.996</v>
      </c>
      <c r="L1990" s="61">
        <v>324.68</v>
      </c>
      <c r="M1990" s="62">
        <v>1.01</v>
      </c>
      <c r="N1990" s="61">
        <v>327.93</v>
      </c>
      <c r="O1990" s="42"/>
      <c r="P1990" s="50">
        <v>752.73249999999985</v>
      </c>
    </row>
    <row r="1991" spans="1:16" ht="11.25" customHeight="1" x14ac:dyDescent="0.2">
      <c r="A1991" s="59"/>
      <c r="B1991" s="98"/>
      <c r="C1991" s="102" t="s">
        <v>63</v>
      </c>
      <c r="D1991" s="102"/>
      <c r="E1991" s="102"/>
      <c r="F1991" s="102"/>
      <c r="G1991" s="102"/>
      <c r="H1991" s="41"/>
      <c r="I1991" s="42"/>
      <c r="J1991" s="42"/>
      <c r="K1991" s="42"/>
      <c r="L1991" s="45"/>
      <c r="M1991" s="42"/>
      <c r="N1991" s="45"/>
      <c r="O1991" s="42"/>
      <c r="P1991" s="50">
        <v>752.73249999999985</v>
      </c>
    </row>
    <row r="1992" spans="1:16" ht="11.25" customHeight="1" x14ac:dyDescent="0.2">
      <c r="A1992" s="39" t="s">
        <v>925</v>
      </c>
      <c r="B1992" s="97" t="s">
        <v>246</v>
      </c>
      <c r="C1992" s="103" t="s">
        <v>247</v>
      </c>
      <c r="D1992" s="103"/>
      <c r="E1992" s="103"/>
      <c r="F1992" s="103"/>
      <c r="G1992" s="103"/>
      <c r="H1992" s="41" t="s">
        <v>83</v>
      </c>
      <c r="I1992" s="42">
        <v>1</v>
      </c>
      <c r="J1992" s="43">
        <v>1</v>
      </c>
      <c r="K1992" s="43">
        <v>1</v>
      </c>
      <c r="L1992" s="61">
        <v>111.78</v>
      </c>
      <c r="M1992" s="62">
        <v>1.01</v>
      </c>
      <c r="N1992" s="61">
        <v>112.9</v>
      </c>
      <c r="O1992" s="42"/>
      <c r="P1992" s="50">
        <v>129.83500000000001</v>
      </c>
    </row>
    <row r="1993" spans="1:16" ht="11.25" customHeight="1" x14ac:dyDescent="0.2">
      <c r="A1993" s="59"/>
      <c r="B1993" s="98"/>
      <c r="C1993" s="102" t="s">
        <v>63</v>
      </c>
      <c r="D1993" s="102"/>
      <c r="E1993" s="102"/>
      <c r="F1993" s="102"/>
      <c r="G1993" s="102"/>
      <c r="H1993" s="41"/>
      <c r="I1993" s="42"/>
      <c r="J1993" s="42"/>
      <c r="K1993" s="42"/>
      <c r="L1993" s="45"/>
      <c r="M1993" s="42"/>
      <c r="N1993" s="45"/>
      <c r="O1993" s="42"/>
      <c r="P1993" s="50">
        <v>129.83500000000001</v>
      </c>
    </row>
    <row r="1994" spans="1:16" ht="11.25" customHeight="1" x14ac:dyDescent="0.2">
      <c r="A1994" s="39" t="s">
        <v>926</v>
      </c>
      <c r="B1994" s="97" t="s">
        <v>249</v>
      </c>
      <c r="C1994" s="103" t="s">
        <v>250</v>
      </c>
      <c r="D1994" s="103"/>
      <c r="E1994" s="103"/>
      <c r="F1994" s="103"/>
      <c r="G1994" s="103"/>
      <c r="H1994" s="41" t="s">
        <v>83</v>
      </c>
      <c r="I1994" s="42">
        <v>1</v>
      </c>
      <c r="J1994" s="43">
        <v>1</v>
      </c>
      <c r="K1994" s="43">
        <v>1</v>
      </c>
      <c r="L1994" s="61">
        <v>69.52</v>
      </c>
      <c r="M1994" s="62">
        <v>1.01</v>
      </c>
      <c r="N1994" s="61">
        <v>70.22</v>
      </c>
      <c r="O1994" s="42"/>
      <c r="P1994" s="50">
        <v>80.752999999999986</v>
      </c>
    </row>
    <row r="1995" spans="1:16" ht="11.25" customHeight="1" x14ac:dyDescent="0.2">
      <c r="A1995" s="59"/>
      <c r="B1995" s="98"/>
      <c r="C1995" s="102" t="s">
        <v>63</v>
      </c>
      <c r="D1995" s="102"/>
      <c r="E1995" s="102"/>
      <c r="F1995" s="102"/>
      <c r="G1995" s="102"/>
      <c r="H1995" s="41"/>
      <c r="I1995" s="42"/>
      <c r="J1995" s="42"/>
      <c r="K1995" s="42"/>
      <c r="L1995" s="45"/>
      <c r="M1995" s="42"/>
      <c r="N1995" s="45"/>
      <c r="O1995" s="42"/>
      <c r="P1995" s="50">
        <v>80.752999999999986</v>
      </c>
    </row>
    <row r="1996" spans="1:16" ht="11.25" customHeight="1" x14ac:dyDescent="0.2">
      <c r="A1996" s="39" t="s">
        <v>927</v>
      </c>
      <c r="B1996" s="97" t="s">
        <v>252</v>
      </c>
      <c r="C1996" s="103" t="s">
        <v>253</v>
      </c>
      <c r="D1996" s="103"/>
      <c r="E1996" s="103"/>
      <c r="F1996" s="103"/>
      <c r="G1996" s="103"/>
      <c r="H1996" s="41" t="s">
        <v>125</v>
      </c>
      <c r="I1996" s="42">
        <v>0.01</v>
      </c>
      <c r="J1996" s="43">
        <v>1</v>
      </c>
      <c r="K1996" s="62">
        <v>0.01</v>
      </c>
      <c r="L1996" s="45"/>
      <c r="M1996" s="42"/>
      <c r="N1996" s="45"/>
      <c r="O1996" s="42"/>
      <c r="P1996" s="50"/>
    </row>
    <row r="1997" spans="1:16" ht="11.25" customHeight="1" x14ac:dyDescent="0.2">
      <c r="A1997" s="47"/>
      <c r="B1997" s="48"/>
      <c r="C1997" s="102" t="s">
        <v>56</v>
      </c>
      <c r="D1997" s="102"/>
      <c r="E1997" s="102"/>
      <c r="F1997" s="102"/>
      <c r="G1997" s="102"/>
      <c r="H1997" s="41"/>
      <c r="I1997" s="42"/>
      <c r="J1997" s="42"/>
      <c r="K1997" s="42"/>
      <c r="L1997" s="45"/>
      <c r="M1997" s="42"/>
      <c r="N1997" s="49"/>
      <c r="O1997" s="42"/>
      <c r="P1997" s="50">
        <v>288.6155</v>
      </c>
    </row>
    <row r="1998" spans="1:16" ht="11.25" customHeight="1" x14ac:dyDescent="0.2">
      <c r="A1998" s="52"/>
      <c r="B1998" s="53"/>
      <c r="C1998" s="104" t="s">
        <v>57</v>
      </c>
      <c r="D1998" s="104"/>
      <c r="E1998" s="104"/>
      <c r="F1998" s="104"/>
      <c r="G1998" s="104"/>
      <c r="H1998" s="54"/>
      <c r="I1998" s="55"/>
      <c r="J1998" s="55"/>
      <c r="K1998" s="55"/>
      <c r="L1998" s="56"/>
      <c r="M1998" s="55"/>
      <c r="N1998" s="56"/>
      <c r="O1998" s="55"/>
      <c r="P1998" s="77">
        <v>286.45349999999996</v>
      </c>
    </row>
    <row r="1999" spans="1:16" ht="11.25" customHeight="1" x14ac:dyDescent="0.2">
      <c r="A1999" s="52"/>
      <c r="B1999" s="53" t="s">
        <v>215</v>
      </c>
      <c r="C1999" s="104" t="s">
        <v>216</v>
      </c>
      <c r="D1999" s="104"/>
      <c r="E1999" s="104"/>
      <c r="F1999" s="104"/>
      <c r="G1999" s="104"/>
      <c r="H1999" s="54" t="s">
        <v>60</v>
      </c>
      <c r="I1999" s="58">
        <v>121</v>
      </c>
      <c r="J1999" s="55"/>
      <c r="K1999" s="58">
        <v>121</v>
      </c>
      <c r="L1999" s="56"/>
      <c r="M1999" s="55"/>
      <c r="N1999" s="56"/>
      <c r="O1999" s="55"/>
      <c r="P1999" s="77">
        <v>346.60999999999996</v>
      </c>
    </row>
    <row r="2000" spans="1:16" ht="11.25" customHeight="1" x14ac:dyDescent="0.2">
      <c r="A2000" s="52"/>
      <c r="B2000" s="53" t="s">
        <v>217</v>
      </c>
      <c r="C2000" s="104" t="s">
        <v>218</v>
      </c>
      <c r="D2000" s="104"/>
      <c r="E2000" s="104"/>
      <c r="F2000" s="104"/>
      <c r="G2000" s="104"/>
      <c r="H2000" s="54" t="s">
        <v>60</v>
      </c>
      <c r="I2000" s="58">
        <v>72</v>
      </c>
      <c r="J2000" s="55"/>
      <c r="K2000" s="58">
        <v>72</v>
      </c>
      <c r="L2000" s="56"/>
      <c r="M2000" s="55"/>
      <c r="N2000" s="56"/>
      <c r="O2000" s="55"/>
      <c r="P2000" s="77">
        <v>206.24099999999999</v>
      </c>
    </row>
    <row r="2001" spans="1:16" ht="11.25" customHeight="1" x14ac:dyDescent="0.2">
      <c r="A2001" s="59"/>
      <c r="B2001" s="98"/>
      <c r="C2001" s="102" t="s">
        <v>63</v>
      </c>
      <c r="D2001" s="102"/>
      <c r="E2001" s="102"/>
      <c r="F2001" s="102"/>
      <c r="G2001" s="102"/>
      <c r="H2001" s="41"/>
      <c r="I2001" s="42"/>
      <c r="J2001" s="42"/>
      <c r="K2001" s="42"/>
      <c r="L2001" s="45"/>
      <c r="M2001" s="42"/>
      <c r="N2001" s="49">
        <v>73171</v>
      </c>
      <c r="O2001" s="42"/>
      <c r="P2001" s="50">
        <v>841.4665</v>
      </c>
    </row>
    <row r="2002" spans="1:16" ht="11.25" customHeight="1" x14ac:dyDescent="0.2">
      <c r="A2002" s="39" t="s">
        <v>928</v>
      </c>
      <c r="B2002" s="97" t="s">
        <v>255</v>
      </c>
      <c r="C2002" s="103" t="s">
        <v>256</v>
      </c>
      <c r="D2002" s="103"/>
      <c r="E2002" s="103"/>
      <c r="F2002" s="103"/>
      <c r="G2002" s="103"/>
      <c r="H2002" s="41" t="s">
        <v>244</v>
      </c>
      <c r="I2002" s="42">
        <v>0.998</v>
      </c>
      <c r="J2002" s="43">
        <v>1</v>
      </c>
      <c r="K2002" s="66">
        <v>0.998</v>
      </c>
      <c r="L2002" s="61">
        <v>134</v>
      </c>
      <c r="M2002" s="62">
        <v>1.01</v>
      </c>
      <c r="N2002" s="61">
        <v>135.34</v>
      </c>
      <c r="O2002" s="42"/>
      <c r="P2002" s="50">
        <v>155.33049999999997</v>
      </c>
    </row>
    <row r="2003" spans="1:16" ht="11.25" customHeight="1" x14ac:dyDescent="0.2">
      <c r="A2003" s="59"/>
      <c r="B2003" s="98"/>
      <c r="C2003" s="102" t="s">
        <v>63</v>
      </c>
      <c r="D2003" s="102"/>
      <c r="E2003" s="102"/>
      <c r="F2003" s="102"/>
      <c r="G2003" s="102"/>
      <c r="H2003" s="41"/>
      <c r="I2003" s="42"/>
      <c r="J2003" s="42"/>
      <c r="K2003" s="42"/>
      <c r="L2003" s="45"/>
      <c r="M2003" s="42"/>
      <c r="N2003" s="45"/>
      <c r="O2003" s="42"/>
      <c r="P2003" s="50">
        <v>155.33049999999997</v>
      </c>
    </row>
    <row r="2004" spans="1:16" ht="11.25" customHeight="1" x14ac:dyDescent="0.2">
      <c r="A2004" s="39" t="s">
        <v>929</v>
      </c>
      <c r="B2004" s="97" t="s">
        <v>258</v>
      </c>
      <c r="C2004" s="103" t="s">
        <v>259</v>
      </c>
      <c r="D2004" s="103"/>
      <c r="E2004" s="103"/>
      <c r="F2004" s="103"/>
      <c r="G2004" s="103"/>
      <c r="H2004" s="41" t="s">
        <v>83</v>
      </c>
      <c r="I2004" s="42">
        <v>1</v>
      </c>
      <c r="J2004" s="43">
        <v>1</v>
      </c>
      <c r="K2004" s="43">
        <v>1</v>
      </c>
      <c r="L2004" s="61">
        <v>26.78</v>
      </c>
      <c r="M2004" s="62">
        <v>1.01</v>
      </c>
      <c r="N2004" s="61">
        <v>27.05</v>
      </c>
      <c r="O2004" s="42"/>
      <c r="P2004" s="50">
        <v>31.107499999999998</v>
      </c>
    </row>
    <row r="2005" spans="1:16" ht="11.25" customHeight="1" x14ac:dyDescent="0.2">
      <c r="A2005" s="59"/>
      <c r="B2005" s="98"/>
      <c r="C2005" s="102" t="s">
        <v>63</v>
      </c>
      <c r="D2005" s="102"/>
      <c r="E2005" s="102"/>
      <c r="F2005" s="102"/>
      <c r="G2005" s="102"/>
      <c r="H2005" s="41"/>
      <c r="I2005" s="42"/>
      <c r="J2005" s="42"/>
      <c r="K2005" s="42"/>
      <c r="L2005" s="45"/>
      <c r="M2005" s="42"/>
      <c r="N2005" s="45"/>
      <c r="O2005" s="42"/>
      <c r="P2005" s="50">
        <v>31.107499999999998</v>
      </c>
    </row>
    <row r="2006" spans="1:16" ht="11.25" customHeight="1" x14ac:dyDescent="0.2">
      <c r="A2006" s="39" t="s">
        <v>930</v>
      </c>
      <c r="B2006" s="97" t="s">
        <v>261</v>
      </c>
      <c r="C2006" s="103" t="s">
        <v>262</v>
      </c>
      <c r="D2006" s="103"/>
      <c r="E2006" s="103"/>
      <c r="F2006" s="103"/>
      <c r="G2006" s="103"/>
      <c r="H2006" s="41" t="s">
        <v>263</v>
      </c>
      <c r="I2006" s="42">
        <v>0.14000000000000001</v>
      </c>
      <c r="J2006" s="43">
        <v>1</v>
      </c>
      <c r="K2006" s="62">
        <v>0.14000000000000001</v>
      </c>
      <c r="L2006" s="45"/>
      <c r="M2006" s="42"/>
      <c r="N2006" s="45"/>
      <c r="O2006" s="42"/>
      <c r="P2006" s="50"/>
    </row>
    <row r="2007" spans="1:16" ht="11.25" customHeight="1" x14ac:dyDescent="0.2">
      <c r="A2007" s="47"/>
      <c r="B2007" s="48"/>
      <c r="C2007" s="102" t="s">
        <v>56</v>
      </c>
      <c r="D2007" s="102"/>
      <c r="E2007" s="102"/>
      <c r="F2007" s="102"/>
      <c r="G2007" s="102"/>
      <c r="H2007" s="41"/>
      <c r="I2007" s="42"/>
      <c r="J2007" s="42"/>
      <c r="K2007" s="42"/>
      <c r="L2007" s="45"/>
      <c r="M2007" s="42"/>
      <c r="N2007" s="49"/>
      <c r="O2007" s="42"/>
      <c r="P2007" s="50">
        <v>147.51050000000001</v>
      </c>
    </row>
    <row r="2008" spans="1:16" ht="11.25" customHeight="1" x14ac:dyDescent="0.2">
      <c r="A2008" s="52"/>
      <c r="B2008" s="53"/>
      <c r="C2008" s="104" t="s">
        <v>57</v>
      </c>
      <c r="D2008" s="104"/>
      <c r="E2008" s="104"/>
      <c r="F2008" s="104"/>
      <c r="G2008" s="104"/>
      <c r="H2008" s="54"/>
      <c r="I2008" s="55"/>
      <c r="J2008" s="55"/>
      <c r="K2008" s="55"/>
      <c r="L2008" s="56"/>
      <c r="M2008" s="55"/>
      <c r="N2008" s="56"/>
      <c r="O2008" s="55"/>
      <c r="P2008" s="77">
        <v>147.51050000000001</v>
      </c>
    </row>
    <row r="2009" spans="1:16" ht="11.25" customHeight="1" x14ac:dyDescent="0.2">
      <c r="A2009" s="52"/>
      <c r="B2009" s="53" t="s">
        <v>215</v>
      </c>
      <c r="C2009" s="104" t="s">
        <v>216</v>
      </c>
      <c r="D2009" s="104"/>
      <c r="E2009" s="104"/>
      <c r="F2009" s="104"/>
      <c r="G2009" s="104"/>
      <c r="H2009" s="54" t="s">
        <v>60</v>
      </c>
      <c r="I2009" s="58">
        <v>121</v>
      </c>
      <c r="J2009" s="55"/>
      <c r="K2009" s="58">
        <v>121</v>
      </c>
      <c r="L2009" s="56"/>
      <c r="M2009" s="55"/>
      <c r="N2009" s="56"/>
      <c r="O2009" s="55"/>
      <c r="P2009" s="77">
        <v>178.4915</v>
      </c>
    </row>
    <row r="2010" spans="1:16" ht="11.25" customHeight="1" x14ac:dyDescent="0.2">
      <c r="A2010" s="52"/>
      <c r="B2010" s="53" t="s">
        <v>217</v>
      </c>
      <c r="C2010" s="104" t="s">
        <v>218</v>
      </c>
      <c r="D2010" s="104"/>
      <c r="E2010" s="104"/>
      <c r="F2010" s="104"/>
      <c r="G2010" s="104"/>
      <c r="H2010" s="54" t="s">
        <v>60</v>
      </c>
      <c r="I2010" s="58">
        <v>72</v>
      </c>
      <c r="J2010" s="55"/>
      <c r="K2010" s="58">
        <v>72</v>
      </c>
      <c r="L2010" s="56"/>
      <c r="M2010" s="55"/>
      <c r="N2010" s="56"/>
      <c r="O2010" s="55"/>
      <c r="P2010" s="77">
        <v>106.20249999999999</v>
      </c>
    </row>
    <row r="2011" spans="1:16" ht="11.25" customHeight="1" x14ac:dyDescent="0.2">
      <c r="A2011" s="59"/>
      <c r="B2011" s="98"/>
      <c r="C2011" s="102" t="s">
        <v>63</v>
      </c>
      <c r="D2011" s="102"/>
      <c r="E2011" s="102"/>
      <c r="F2011" s="102"/>
      <c r="G2011" s="102"/>
      <c r="H2011" s="41"/>
      <c r="I2011" s="42"/>
      <c r="J2011" s="42"/>
      <c r="K2011" s="42"/>
      <c r="L2011" s="45"/>
      <c r="M2011" s="42"/>
      <c r="N2011" s="49">
        <v>2684.5</v>
      </c>
      <c r="O2011" s="42"/>
      <c r="P2011" s="50">
        <v>432.20449999999994</v>
      </c>
    </row>
    <row r="2012" spans="1:16" ht="11.25" customHeight="1" x14ac:dyDescent="0.2">
      <c r="A2012" s="39" t="s">
        <v>931</v>
      </c>
      <c r="B2012" s="97" t="s">
        <v>265</v>
      </c>
      <c r="C2012" s="103" t="s">
        <v>266</v>
      </c>
      <c r="D2012" s="103"/>
      <c r="E2012" s="103"/>
      <c r="F2012" s="103"/>
      <c r="G2012" s="103"/>
      <c r="H2012" s="41" t="s">
        <v>125</v>
      </c>
      <c r="I2012" s="42">
        <v>0.05</v>
      </c>
      <c r="J2012" s="43">
        <v>1</v>
      </c>
      <c r="K2012" s="62">
        <v>0.05</v>
      </c>
      <c r="L2012" s="45"/>
      <c r="M2012" s="42"/>
      <c r="N2012" s="45"/>
      <c r="O2012" s="42"/>
      <c r="P2012" s="50"/>
    </row>
    <row r="2013" spans="1:16" ht="11.25" customHeight="1" x14ac:dyDescent="0.2">
      <c r="A2013" s="47"/>
      <c r="B2013" s="48"/>
      <c r="C2013" s="102" t="s">
        <v>56</v>
      </c>
      <c r="D2013" s="102"/>
      <c r="E2013" s="102"/>
      <c r="F2013" s="102"/>
      <c r="G2013" s="102"/>
      <c r="H2013" s="41"/>
      <c r="I2013" s="42"/>
      <c r="J2013" s="42"/>
      <c r="K2013" s="42"/>
      <c r="L2013" s="45"/>
      <c r="M2013" s="42"/>
      <c r="N2013" s="49"/>
      <c r="O2013" s="42"/>
      <c r="P2013" s="50">
        <v>345.01149999999996</v>
      </c>
    </row>
    <row r="2014" spans="1:16" ht="11.25" customHeight="1" x14ac:dyDescent="0.2">
      <c r="A2014" s="52"/>
      <c r="B2014" s="53"/>
      <c r="C2014" s="104" t="s">
        <v>57</v>
      </c>
      <c r="D2014" s="104"/>
      <c r="E2014" s="104"/>
      <c r="F2014" s="104"/>
      <c r="G2014" s="104"/>
      <c r="H2014" s="54"/>
      <c r="I2014" s="55"/>
      <c r="J2014" s="55"/>
      <c r="K2014" s="55"/>
      <c r="L2014" s="56"/>
      <c r="M2014" s="55"/>
      <c r="N2014" s="56"/>
      <c r="O2014" s="55"/>
      <c r="P2014" s="77">
        <v>307.6825</v>
      </c>
    </row>
    <row r="2015" spans="1:16" ht="11.25" customHeight="1" x14ac:dyDescent="0.2">
      <c r="A2015" s="52"/>
      <c r="B2015" s="53" t="s">
        <v>215</v>
      </c>
      <c r="C2015" s="104" t="s">
        <v>216</v>
      </c>
      <c r="D2015" s="104"/>
      <c r="E2015" s="104"/>
      <c r="F2015" s="104"/>
      <c r="G2015" s="104"/>
      <c r="H2015" s="54" t="s">
        <v>60</v>
      </c>
      <c r="I2015" s="58">
        <v>121</v>
      </c>
      <c r="J2015" s="55"/>
      <c r="K2015" s="58">
        <v>121</v>
      </c>
      <c r="L2015" s="56"/>
      <c r="M2015" s="55"/>
      <c r="N2015" s="56"/>
      <c r="O2015" s="55"/>
      <c r="P2015" s="77">
        <v>372.30099999999999</v>
      </c>
    </row>
    <row r="2016" spans="1:16" ht="11.25" customHeight="1" x14ac:dyDescent="0.2">
      <c r="A2016" s="52"/>
      <c r="B2016" s="53" t="s">
        <v>217</v>
      </c>
      <c r="C2016" s="104" t="s">
        <v>218</v>
      </c>
      <c r="D2016" s="104"/>
      <c r="E2016" s="104"/>
      <c r="F2016" s="104"/>
      <c r="G2016" s="104"/>
      <c r="H2016" s="54" t="s">
        <v>60</v>
      </c>
      <c r="I2016" s="58">
        <v>72</v>
      </c>
      <c r="J2016" s="55"/>
      <c r="K2016" s="58">
        <v>72</v>
      </c>
      <c r="L2016" s="56"/>
      <c r="M2016" s="55"/>
      <c r="N2016" s="56"/>
      <c r="O2016" s="55"/>
      <c r="P2016" s="77">
        <v>221.53599999999997</v>
      </c>
    </row>
    <row r="2017" spans="1:16" ht="11.25" customHeight="1" x14ac:dyDescent="0.2">
      <c r="A2017" s="59"/>
      <c r="B2017" s="98"/>
      <c r="C2017" s="102" t="s">
        <v>63</v>
      </c>
      <c r="D2017" s="102"/>
      <c r="E2017" s="102"/>
      <c r="F2017" s="102"/>
      <c r="G2017" s="102"/>
      <c r="H2017" s="41"/>
      <c r="I2017" s="42"/>
      <c r="J2017" s="42"/>
      <c r="K2017" s="42"/>
      <c r="L2017" s="45"/>
      <c r="M2017" s="42"/>
      <c r="N2017" s="49">
        <v>16327.8</v>
      </c>
      <c r="O2017" s="42"/>
      <c r="P2017" s="50">
        <v>938.84849999999994</v>
      </c>
    </row>
    <row r="2018" spans="1:16" ht="11.25" customHeight="1" x14ac:dyDescent="0.2">
      <c r="A2018" s="39" t="s">
        <v>932</v>
      </c>
      <c r="B2018" s="97" t="s">
        <v>268</v>
      </c>
      <c r="C2018" s="103" t="s">
        <v>269</v>
      </c>
      <c r="D2018" s="103"/>
      <c r="E2018" s="103"/>
      <c r="F2018" s="103"/>
      <c r="G2018" s="103"/>
      <c r="H2018" s="41" t="s">
        <v>244</v>
      </c>
      <c r="I2018" s="42">
        <v>5.125</v>
      </c>
      <c r="J2018" s="43">
        <v>1</v>
      </c>
      <c r="K2018" s="66">
        <v>5.125</v>
      </c>
      <c r="L2018" s="61">
        <v>45.1</v>
      </c>
      <c r="M2018" s="62">
        <v>1.01</v>
      </c>
      <c r="N2018" s="61">
        <v>45.55</v>
      </c>
      <c r="O2018" s="42"/>
      <c r="P2018" s="50">
        <v>268.45599999999996</v>
      </c>
    </row>
    <row r="2019" spans="1:16" ht="11.25" customHeight="1" x14ac:dyDescent="0.2">
      <c r="A2019" s="59"/>
      <c r="B2019" s="98"/>
      <c r="C2019" s="102" t="s">
        <v>63</v>
      </c>
      <c r="D2019" s="102"/>
      <c r="E2019" s="102"/>
      <c r="F2019" s="102"/>
      <c r="G2019" s="102"/>
      <c r="H2019" s="41"/>
      <c r="I2019" s="42"/>
      <c r="J2019" s="42"/>
      <c r="K2019" s="42"/>
      <c r="L2019" s="45"/>
      <c r="M2019" s="42"/>
      <c r="N2019" s="45"/>
      <c r="O2019" s="42"/>
      <c r="P2019" s="50">
        <v>268.45599999999996</v>
      </c>
    </row>
    <row r="2020" spans="1:16" ht="11.25" customHeight="1" x14ac:dyDescent="0.2">
      <c r="A2020" s="39" t="s">
        <v>933</v>
      </c>
      <c r="B2020" s="97" t="s">
        <v>271</v>
      </c>
      <c r="C2020" s="103" t="s">
        <v>272</v>
      </c>
      <c r="D2020" s="103"/>
      <c r="E2020" s="103"/>
      <c r="F2020" s="103"/>
      <c r="G2020" s="103"/>
      <c r="H2020" s="41" t="s">
        <v>83</v>
      </c>
      <c r="I2020" s="42">
        <v>1</v>
      </c>
      <c r="J2020" s="43">
        <v>1</v>
      </c>
      <c r="K2020" s="43">
        <v>1</v>
      </c>
      <c r="L2020" s="61">
        <v>8.2899999999999991</v>
      </c>
      <c r="M2020" s="62">
        <v>1.01</v>
      </c>
      <c r="N2020" s="61">
        <v>8.3699999999999992</v>
      </c>
      <c r="O2020" s="42"/>
      <c r="P2020" s="50">
        <v>9.6254999999999988</v>
      </c>
    </row>
    <row r="2021" spans="1:16" ht="11.25" customHeight="1" x14ac:dyDescent="0.2">
      <c r="A2021" s="59"/>
      <c r="B2021" s="98"/>
      <c r="C2021" s="102" t="s">
        <v>63</v>
      </c>
      <c r="D2021" s="102"/>
      <c r="E2021" s="102"/>
      <c r="F2021" s="102"/>
      <c r="G2021" s="102"/>
      <c r="H2021" s="41"/>
      <c r="I2021" s="42"/>
      <c r="J2021" s="42"/>
      <c r="K2021" s="42"/>
      <c r="L2021" s="45"/>
      <c r="M2021" s="42"/>
      <c r="N2021" s="45"/>
      <c r="O2021" s="42"/>
      <c r="P2021" s="50">
        <v>9.6254999999999988</v>
      </c>
    </row>
    <row r="2022" spans="1:16" ht="11.25" customHeight="1" x14ac:dyDescent="0.2">
      <c r="A2022" s="39" t="s">
        <v>934</v>
      </c>
      <c r="B2022" s="97" t="s">
        <v>274</v>
      </c>
      <c r="C2022" s="103" t="s">
        <v>275</v>
      </c>
      <c r="D2022" s="103"/>
      <c r="E2022" s="103"/>
      <c r="F2022" s="103"/>
      <c r="G2022" s="103"/>
      <c r="H2022" s="41" t="s">
        <v>83</v>
      </c>
      <c r="I2022" s="42">
        <v>2</v>
      </c>
      <c r="J2022" s="43">
        <v>1</v>
      </c>
      <c r="K2022" s="43">
        <v>2</v>
      </c>
      <c r="L2022" s="61">
        <v>6.28</v>
      </c>
      <c r="M2022" s="62">
        <v>1.01</v>
      </c>
      <c r="N2022" s="61">
        <v>6.34</v>
      </c>
      <c r="O2022" s="42"/>
      <c r="P2022" s="50">
        <v>14.581999999999999</v>
      </c>
    </row>
    <row r="2023" spans="1:16" ht="11.25" customHeight="1" x14ac:dyDescent="0.2">
      <c r="A2023" s="59"/>
      <c r="B2023" s="98"/>
      <c r="C2023" s="102" t="s">
        <v>63</v>
      </c>
      <c r="D2023" s="102"/>
      <c r="E2023" s="102"/>
      <c r="F2023" s="102"/>
      <c r="G2023" s="102"/>
      <c r="H2023" s="41"/>
      <c r="I2023" s="42"/>
      <c r="J2023" s="42"/>
      <c r="K2023" s="42"/>
      <c r="L2023" s="45"/>
      <c r="M2023" s="42"/>
      <c r="N2023" s="45"/>
      <c r="O2023" s="42"/>
      <c r="P2023" s="50">
        <v>14.581999999999999</v>
      </c>
    </row>
    <row r="2024" spans="1:16" ht="11.25" customHeight="1" x14ac:dyDescent="0.2">
      <c r="A2024" s="39" t="s">
        <v>935</v>
      </c>
      <c r="B2024" s="97" t="s">
        <v>277</v>
      </c>
      <c r="C2024" s="103" t="s">
        <v>278</v>
      </c>
      <c r="D2024" s="103"/>
      <c r="E2024" s="103"/>
      <c r="F2024" s="103"/>
      <c r="G2024" s="103"/>
      <c r="H2024" s="41" t="s">
        <v>83</v>
      </c>
      <c r="I2024" s="42">
        <v>6</v>
      </c>
      <c r="J2024" s="43">
        <v>1</v>
      </c>
      <c r="K2024" s="43">
        <v>6</v>
      </c>
      <c r="L2024" s="61">
        <v>45.79</v>
      </c>
      <c r="M2024" s="62">
        <v>1.01</v>
      </c>
      <c r="N2024" s="61">
        <v>46.25</v>
      </c>
      <c r="O2024" s="42"/>
      <c r="P2024" s="50">
        <v>319.125</v>
      </c>
    </row>
    <row r="2025" spans="1:16" ht="11.25" customHeight="1" x14ac:dyDescent="0.2">
      <c r="A2025" s="59"/>
      <c r="B2025" s="98"/>
      <c r="C2025" s="102" t="s">
        <v>63</v>
      </c>
      <c r="D2025" s="102"/>
      <c r="E2025" s="102"/>
      <c r="F2025" s="102"/>
      <c r="G2025" s="102"/>
      <c r="H2025" s="41"/>
      <c r="I2025" s="42"/>
      <c r="J2025" s="42"/>
      <c r="K2025" s="42"/>
      <c r="L2025" s="45"/>
      <c r="M2025" s="42"/>
      <c r="N2025" s="45"/>
      <c r="O2025" s="42"/>
      <c r="P2025" s="50">
        <v>319.125</v>
      </c>
    </row>
    <row r="2026" spans="1:16" ht="11.25" customHeight="1" x14ac:dyDescent="0.2">
      <c r="A2026" s="39" t="s">
        <v>936</v>
      </c>
      <c r="B2026" s="97" t="s">
        <v>280</v>
      </c>
      <c r="C2026" s="103" t="s">
        <v>281</v>
      </c>
      <c r="D2026" s="103"/>
      <c r="E2026" s="103"/>
      <c r="F2026" s="103"/>
      <c r="G2026" s="103"/>
      <c r="H2026" s="41" t="s">
        <v>75</v>
      </c>
      <c r="I2026" s="42">
        <v>0.03</v>
      </c>
      <c r="J2026" s="43">
        <v>1</v>
      </c>
      <c r="K2026" s="62">
        <v>0.03</v>
      </c>
      <c r="L2026" s="45"/>
      <c r="M2026" s="42"/>
      <c r="N2026" s="45"/>
      <c r="O2026" s="42"/>
      <c r="P2026" s="50"/>
    </row>
    <row r="2027" spans="1:16" ht="11.25" customHeight="1" x14ac:dyDescent="0.2">
      <c r="A2027" s="47"/>
      <c r="B2027" s="48"/>
      <c r="C2027" s="102" t="s">
        <v>56</v>
      </c>
      <c r="D2027" s="102"/>
      <c r="E2027" s="102"/>
      <c r="F2027" s="102"/>
      <c r="G2027" s="102"/>
      <c r="H2027" s="41"/>
      <c r="I2027" s="42"/>
      <c r="J2027" s="42"/>
      <c r="K2027" s="42"/>
      <c r="L2027" s="45"/>
      <c r="M2027" s="42"/>
      <c r="N2027" s="49"/>
      <c r="O2027" s="42"/>
      <c r="P2027" s="50">
        <v>2405.2824999999998</v>
      </c>
    </row>
    <row r="2028" spans="1:16" ht="11.25" customHeight="1" x14ac:dyDescent="0.2">
      <c r="A2028" s="52"/>
      <c r="B2028" s="53"/>
      <c r="C2028" s="104" t="s">
        <v>57</v>
      </c>
      <c r="D2028" s="104"/>
      <c r="E2028" s="104"/>
      <c r="F2028" s="104"/>
      <c r="G2028" s="104"/>
      <c r="H2028" s="54"/>
      <c r="I2028" s="55"/>
      <c r="J2028" s="55"/>
      <c r="K2028" s="55"/>
      <c r="L2028" s="56"/>
      <c r="M2028" s="55"/>
      <c r="N2028" s="56"/>
      <c r="O2028" s="55"/>
      <c r="P2028" s="77">
        <v>1917.7860000000001</v>
      </c>
    </row>
    <row r="2029" spans="1:16" ht="11.25" customHeight="1" x14ac:dyDescent="0.2">
      <c r="A2029" s="52"/>
      <c r="B2029" s="53" t="s">
        <v>225</v>
      </c>
      <c r="C2029" s="104" t="s">
        <v>226</v>
      </c>
      <c r="D2029" s="104"/>
      <c r="E2029" s="104"/>
      <c r="F2029" s="104"/>
      <c r="G2029" s="104"/>
      <c r="H2029" s="54" t="s">
        <v>60</v>
      </c>
      <c r="I2029" s="58">
        <v>103</v>
      </c>
      <c r="J2029" s="55"/>
      <c r="K2029" s="58">
        <v>103</v>
      </c>
      <c r="L2029" s="56"/>
      <c r="M2029" s="55"/>
      <c r="N2029" s="56"/>
      <c r="O2029" s="55"/>
      <c r="P2029" s="77">
        <v>1975.3205</v>
      </c>
    </row>
    <row r="2030" spans="1:16" ht="11.25" customHeight="1" x14ac:dyDescent="0.2">
      <c r="A2030" s="52"/>
      <c r="B2030" s="53" t="s">
        <v>227</v>
      </c>
      <c r="C2030" s="104" t="s">
        <v>228</v>
      </c>
      <c r="D2030" s="104"/>
      <c r="E2030" s="104"/>
      <c r="F2030" s="104"/>
      <c r="G2030" s="104"/>
      <c r="H2030" s="54" t="s">
        <v>60</v>
      </c>
      <c r="I2030" s="58">
        <v>52</v>
      </c>
      <c r="J2030" s="55"/>
      <c r="K2030" s="58">
        <v>52</v>
      </c>
      <c r="L2030" s="56"/>
      <c r="M2030" s="55"/>
      <c r="N2030" s="56"/>
      <c r="O2030" s="55"/>
      <c r="P2030" s="77">
        <v>997.24549999999988</v>
      </c>
    </row>
    <row r="2031" spans="1:16" ht="11.25" customHeight="1" x14ac:dyDescent="0.2">
      <c r="A2031" s="59"/>
      <c r="B2031" s="98"/>
      <c r="C2031" s="102" t="s">
        <v>63</v>
      </c>
      <c r="D2031" s="102"/>
      <c r="E2031" s="102"/>
      <c r="F2031" s="102"/>
      <c r="G2031" s="102"/>
      <c r="H2031" s="41"/>
      <c r="I2031" s="42"/>
      <c r="J2031" s="42"/>
      <c r="K2031" s="42"/>
      <c r="L2031" s="45"/>
      <c r="M2031" s="42"/>
      <c r="N2031" s="49">
        <v>233819.5</v>
      </c>
      <c r="O2031" s="42"/>
      <c r="P2031" s="50">
        <v>8066.7727500000001</v>
      </c>
    </row>
    <row r="2032" spans="1:16" ht="11.25" customHeight="1" x14ac:dyDescent="0.2">
      <c r="A2032" s="39" t="s">
        <v>937</v>
      </c>
      <c r="B2032" s="97" t="s">
        <v>283</v>
      </c>
      <c r="C2032" s="103" t="s">
        <v>284</v>
      </c>
      <c r="D2032" s="103"/>
      <c r="E2032" s="103"/>
      <c r="F2032" s="103"/>
      <c r="G2032" s="103"/>
      <c r="H2032" s="41" t="s">
        <v>222</v>
      </c>
      <c r="I2032" s="42">
        <v>3</v>
      </c>
      <c r="J2032" s="43">
        <v>1</v>
      </c>
      <c r="K2032" s="43">
        <v>3</v>
      </c>
      <c r="L2032" s="49">
        <v>1181.19</v>
      </c>
      <c r="M2032" s="62">
        <v>1.46</v>
      </c>
      <c r="N2032" s="49">
        <v>1724.54</v>
      </c>
      <c r="O2032" s="42"/>
      <c r="P2032" s="50">
        <v>5949.6629999999996</v>
      </c>
    </row>
    <row r="2033" spans="1:16" ht="11.25" customHeight="1" x14ac:dyDescent="0.2">
      <c r="A2033" s="59"/>
      <c r="B2033" s="98"/>
      <c r="C2033" s="102" t="s">
        <v>63</v>
      </c>
      <c r="D2033" s="102"/>
      <c r="E2033" s="102"/>
      <c r="F2033" s="102"/>
      <c r="G2033" s="102"/>
      <c r="H2033" s="41"/>
      <c r="I2033" s="42"/>
      <c r="J2033" s="42"/>
      <c r="K2033" s="42"/>
      <c r="L2033" s="45"/>
      <c r="M2033" s="42"/>
      <c r="N2033" s="45"/>
      <c r="O2033" s="42"/>
      <c r="P2033" s="50">
        <v>5949.6629999999996</v>
      </c>
    </row>
    <row r="2034" spans="1:16" ht="11.25" customHeight="1" x14ac:dyDescent="0.2">
      <c r="A2034" s="39" t="s">
        <v>939</v>
      </c>
      <c r="B2034" s="97" t="s">
        <v>287</v>
      </c>
      <c r="C2034" s="103" t="s">
        <v>288</v>
      </c>
      <c r="D2034" s="103"/>
      <c r="E2034" s="103"/>
      <c r="F2034" s="103"/>
      <c r="G2034" s="103"/>
      <c r="H2034" s="41" t="s">
        <v>222</v>
      </c>
      <c r="I2034" s="42">
        <v>3</v>
      </c>
      <c r="J2034" s="43">
        <v>1</v>
      </c>
      <c r="K2034" s="43">
        <v>3</v>
      </c>
      <c r="L2034" s="49">
        <v>1164.77</v>
      </c>
      <c r="M2034" s="62">
        <v>1.1299999999999999</v>
      </c>
      <c r="N2034" s="49">
        <v>1316.19</v>
      </c>
      <c r="O2034" s="42"/>
      <c r="P2034" s="50">
        <v>4540.8554999999997</v>
      </c>
    </row>
    <row r="2035" spans="1:16" ht="11.25" customHeight="1" x14ac:dyDescent="0.2">
      <c r="A2035" s="59"/>
      <c r="B2035" s="98"/>
      <c r="C2035" s="102" t="s">
        <v>63</v>
      </c>
      <c r="D2035" s="102"/>
      <c r="E2035" s="102"/>
      <c r="F2035" s="102"/>
      <c r="G2035" s="102"/>
      <c r="H2035" s="41"/>
      <c r="I2035" s="42"/>
      <c r="J2035" s="42"/>
      <c r="K2035" s="42"/>
      <c r="L2035" s="45"/>
      <c r="M2035" s="42"/>
      <c r="N2035" s="45"/>
      <c r="O2035" s="42"/>
      <c r="P2035" s="50">
        <v>4540.8554999999997</v>
      </c>
    </row>
    <row r="2036" spans="1:16" ht="11.25" customHeight="1" x14ac:dyDescent="0.2">
      <c r="A2036" s="39" t="s">
        <v>940</v>
      </c>
      <c r="B2036" s="97" t="s">
        <v>290</v>
      </c>
      <c r="C2036" s="103" t="s">
        <v>291</v>
      </c>
      <c r="D2036" s="103"/>
      <c r="E2036" s="103"/>
      <c r="F2036" s="103"/>
      <c r="G2036" s="103"/>
      <c r="H2036" s="41" t="s">
        <v>292</v>
      </c>
      <c r="I2036" s="42">
        <v>0.9</v>
      </c>
      <c r="J2036" s="43">
        <v>1</v>
      </c>
      <c r="K2036" s="67">
        <v>0.9</v>
      </c>
      <c r="L2036" s="61">
        <v>565.04999999999995</v>
      </c>
      <c r="M2036" s="62">
        <v>1.1299999999999999</v>
      </c>
      <c r="N2036" s="61">
        <v>638.51</v>
      </c>
      <c r="O2036" s="42"/>
      <c r="P2036" s="50">
        <v>660.84749999999997</v>
      </c>
    </row>
    <row r="2037" spans="1:16" ht="11.25" customHeight="1" x14ac:dyDescent="0.2">
      <c r="A2037" s="59"/>
      <c r="B2037" s="98"/>
      <c r="C2037" s="102" t="s">
        <v>63</v>
      </c>
      <c r="D2037" s="102"/>
      <c r="E2037" s="102"/>
      <c r="F2037" s="102"/>
      <c r="G2037" s="102"/>
      <c r="H2037" s="41"/>
      <c r="I2037" s="42"/>
      <c r="J2037" s="42"/>
      <c r="K2037" s="42"/>
      <c r="L2037" s="45"/>
      <c r="M2037" s="42"/>
      <c r="N2037" s="45"/>
      <c r="O2037" s="42"/>
      <c r="P2037" s="50">
        <v>660.84749999999997</v>
      </c>
    </row>
    <row r="2038" spans="1:16" ht="11.25" customHeight="1" x14ac:dyDescent="0.2">
      <c r="A2038" s="39" t="s">
        <v>941</v>
      </c>
      <c r="B2038" s="97" t="s">
        <v>294</v>
      </c>
      <c r="C2038" s="103" t="s">
        <v>295</v>
      </c>
      <c r="D2038" s="103"/>
      <c r="E2038" s="103"/>
      <c r="F2038" s="103"/>
      <c r="G2038" s="103"/>
      <c r="H2038" s="41" t="s">
        <v>83</v>
      </c>
      <c r="I2038" s="42">
        <v>9</v>
      </c>
      <c r="J2038" s="43">
        <v>1</v>
      </c>
      <c r="K2038" s="43">
        <v>9</v>
      </c>
      <c r="L2038" s="61">
        <v>279.64999999999998</v>
      </c>
      <c r="M2038" s="62">
        <v>1.36</v>
      </c>
      <c r="N2038" s="61">
        <v>380.32</v>
      </c>
      <c r="O2038" s="42"/>
      <c r="P2038" s="50">
        <v>6837.6239999999998</v>
      </c>
    </row>
    <row r="2039" spans="1:16" ht="11.25" customHeight="1" x14ac:dyDescent="0.2">
      <c r="A2039" s="59"/>
      <c r="B2039" s="98"/>
      <c r="C2039" s="141" t="s">
        <v>63</v>
      </c>
      <c r="D2039" s="141"/>
      <c r="E2039" s="141"/>
      <c r="F2039" s="141"/>
      <c r="G2039" s="141"/>
      <c r="H2039" s="273"/>
      <c r="I2039" s="274"/>
      <c r="J2039" s="274"/>
      <c r="K2039" s="274"/>
      <c r="L2039" s="275"/>
      <c r="M2039" s="274"/>
      <c r="N2039" s="275"/>
      <c r="O2039" s="274"/>
      <c r="P2039" s="50">
        <v>6837.6239999999998</v>
      </c>
    </row>
    <row r="2040" spans="1:16" ht="11.25" hidden="1" customHeight="1" x14ac:dyDescent="0.2">
      <c r="A2040" s="70"/>
      <c r="B2040" s="71"/>
      <c r="C2040" s="71"/>
      <c r="D2040" s="71"/>
      <c r="E2040" s="71"/>
      <c r="F2040" s="72"/>
      <c r="G2040" s="72"/>
      <c r="H2040" s="72"/>
      <c r="I2040" s="72"/>
      <c r="J2040" s="73"/>
      <c r="K2040" s="72"/>
      <c r="L2040" s="72"/>
      <c r="M2040" s="72"/>
      <c r="N2040" s="73"/>
      <c r="O2040" s="74"/>
      <c r="P2040" s="50"/>
    </row>
    <row r="2041" spans="1:16" ht="11.25" customHeight="1" x14ac:dyDescent="0.2">
      <c r="A2041" s="39" t="s">
        <v>942</v>
      </c>
      <c r="B2041" s="97" t="s">
        <v>313</v>
      </c>
      <c r="C2041" s="103" t="s">
        <v>312</v>
      </c>
      <c r="D2041" s="103"/>
      <c r="E2041" s="103"/>
      <c r="F2041" s="103"/>
      <c r="G2041" s="103"/>
      <c r="H2041" s="41" t="s">
        <v>75</v>
      </c>
      <c r="I2041" s="42">
        <v>0.03</v>
      </c>
      <c r="J2041" s="43">
        <v>1</v>
      </c>
      <c r="K2041" s="62">
        <v>0.03</v>
      </c>
      <c r="L2041" s="45"/>
      <c r="M2041" s="42"/>
      <c r="N2041" s="45"/>
      <c r="O2041" s="42"/>
      <c r="P2041" s="50"/>
    </row>
    <row r="2042" spans="1:16" ht="11.25" customHeight="1" x14ac:dyDescent="0.2">
      <c r="A2042" s="47"/>
      <c r="B2042" s="48"/>
      <c r="C2042" s="102" t="s">
        <v>56</v>
      </c>
      <c r="D2042" s="102"/>
      <c r="E2042" s="102"/>
      <c r="F2042" s="102"/>
      <c r="G2042" s="102"/>
      <c r="H2042" s="41"/>
      <c r="I2042" s="42"/>
      <c r="J2042" s="42"/>
      <c r="K2042" s="42"/>
      <c r="L2042" s="45"/>
      <c r="M2042" s="42"/>
      <c r="N2042" s="49"/>
      <c r="O2042" s="42"/>
      <c r="P2042" s="50">
        <v>2405.2824999999998</v>
      </c>
    </row>
    <row r="2043" spans="1:16" ht="11.25" customHeight="1" x14ac:dyDescent="0.2">
      <c r="A2043" s="52"/>
      <c r="B2043" s="53"/>
      <c r="C2043" s="104" t="s">
        <v>57</v>
      </c>
      <c r="D2043" s="104"/>
      <c r="E2043" s="104"/>
      <c r="F2043" s="104"/>
      <c r="G2043" s="104"/>
      <c r="H2043" s="54"/>
      <c r="I2043" s="55"/>
      <c r="J2043" s="55"/>
      <c r="K2043" s="55"/>
      <c r="L2043" s="56"/>
      <c r="M2043" s="55"/>
      <c r="N2043" s="56"/>
      <c r="O2043" s="55"/>
      <c r="P2043" s="77">
        <v>1917.7860000000001</v>
      </c>
    </row>
    <row r="2044" spans="1:16" ht="11.25" customHeight="1" x14ac:dyDescent="0.2">
      <c r="A2044" s="52"/>
      <c r="B2044" s="53" t="s">
        <v>225</v>
      </c>
      <c r="C2044" s="104" t="s">
        <v>226</v>
      </c>
      <c r="D2044" s="104"/>
      <c r="E2044" s="104"/>
      <c r="F2044" s="104"/>
      <c r="G2044" s="104"/>
      <c r="H2044" s="54" t="s">
        <v>60</v>
      </c>
      <c r="I2044" s="58">
        <v>103</v>
      </c>
      <c r="J2044" s="55"/>
      <c r="K2044" s="58">
        <v>103</v>
      </c>
      <c r="L2044" s="56"/>
      <c r="M2044" s="55"/>
      <c r="N2044" s="56"/>
      <c r="O2044" s="55"/>
      <c r="P2044" s="77">
        <v>1975.3205</v>
      </c>
    </row>
    <row r="2045" spans="1:16" ht="11.25" customHeight="1" x14ac:dyDescent="0.2">
      <c r="A2045" s="52"/>
      <c r="B2045" s="53" t="s">
        <v>227</v>
      </c>
      <c r="C2045" s="104" t="s">
        <v>228</v>
      </c>
      <c r="D2045" s="104"/>
      <c r="E2045" s="104"/>
      <c r="F2045" s="104"/>
      <c r="G2045" s="104"/>
      <c r="H2045" s="54" t="s">
        <v>60</v>
      </c>
      <c r="I2045" s="58">
        <v>52</v>
      </c>
      <c r="J2045" s="55"/>
      <c r="K2045" s="58">
        <v>52</v>
      </c>
      <c r="L2045" s="56"/>
      <c r="M2045" s="55"/>
      <c r="N2045" s="56"/>
      <c r="O2045" s="55"/>
      <c r="P2045" s="77">
        <v>997.24549999999988</v>
      </c>
    </row>
    <row r="2046" spans="1:16" ht="11.25" customHeight="1" x14ac:dyDescent="0.2">
      <c r="A2046" s="59"/>
      <c r="B2046" s="98"/>
      <c r="C2046" s="102" t="s">
        <v>63</v>
      </c>
      <c r="D2046" s="102"/>
      <c r="E2046" s="102"/>
      <c r="F2046" s="102"/>
      <c r="G2046" s="102"/>
      <c r="H2046" s="41"/>
      <c r="I2046" s="42"/>
      <c r="J2046" s="42"/>
      <c r="K2046" s="42"/>
      <c r="L2046" s="45"/>
      <c r="M2046" s="42"/>
      <c r="N2046" s="49">
        <f>P2046/K2041</f>
        <v>63926.28333333334</v>
      </c>
      <c r="O2046" s="42"/>
      <c r="P2046" s="50">
        <v>1917.7885000000001</v>
      </c>
    </row>
    <row r="2047" spans="1:16" ht="11.25" customHeight="1" x14ac:dyDescent="0.2">
      <c r="A2047" s="39" t="s">
        <v>943</v>
      </c>
      <c r="B2047" s="97" t="s">
        <v>314</v>
      </c>
      <c r="C2047" s="103" t="s">
        <v>315</v>
      </c>
      <c r="D2047" s="103"/>
      <c r="E2047" s="103"/>
      <c r="F2047" s="103"/>
      <c r="G2047" s="103"/>
      <c r="H2047" s="41" t="s">
        <v>83</v>
      </c>
      <c r="I2047" s="42">
        <v>3</v>
      </c>
      <c r="J2047" s="43">
        <v>1</v>
      </c>
      <c r="K2047" s="43">
        <v>3</v>
      </c>
      <c r="L2047" s="49">
        <f>N2047/M2047</f>
        <v>4144.2009132420089</v>
      </c>
      <c r="M2047" s="62">
        <v>1.46</v>
      </c>
      <c r="N2047" s="49">
        <f>P2047/K2047</f>
        <v>6050.5333333333328</v>
      </c>
      <c r="O2047" s="42"/>
      <c r="P2047" s="50">
        <v>18151.599999999999</v>
      </c>
    </row>
    <row r="2048" spans="1:16" ht="11.25" customHeight="1" x14ac:dyDescent="0.2">
      <c r="A2048" s="252" t="s">
        <v>587</v>
      </c>
      <c r="B2048" s="141"/>
      <c r="C2048" s="141"/>
      <c r="D2048" s="141"/>
      <c r="E2048" s="141"/>
      <c r="F2048" s="141"/>
      <c r="G2048" s="141"/>
      <c r="H2048" s="141"/>
      <c r="I2048" s="141"/>
      <c r="J2048" s="141"/>
      <c r="K2048" s="141"/>
      <c r="L2048" s="141"/>
      <c r="M2048" s="141"/>
      <c r="N2048" s="141"/>
      <c r="O2048" s="141"/>
      <c r="P2048" s="91">
        <v>452815.76433383406</v>
      </c>
    </row>
    <row r="2049" spans="1:68" ht="11.25" customHeight="1" x14ac:dyDescent="0.2">
      <c r="A2049" s="47"/>
      <c r="B2049" s="75"/>
      <c r="C2049" s="99" t="s">
        <v>296</v>
      </c>
      <c r="D2049" s="99"/>
      <c r="E2049" s="99"/>
      <c r="F2049" s="99"/>
      <c r="G2049" s="99"/>
      <c r="H2049" s="99"/>
      <c r="I2049" s="99"/>
      <c r="J2049" s="99"/>
      <c r="K2049" s="99"/>
      <c r="L2049" s="99"/>
      <c r="M2049" s="99"/>
      <c r="N2049" s="99"/>
      <c r="O2049" s="99"/>
      <c r="P2049" s="77"/>
    </row>
    <row r="2050" spans="1:68" ht="11.25" customHeight="1" x14ac:dyDescent="0.2">
      <c r="A2050" s="47"/>
      <c r="B2050" s="101" t="s">
        <v>297</v>
      </c>
      <c r="C2050" s="101"/>
      <c r="D2050" s="101"/>
      <c r="E2050" s="101"/>
      <c r="F2050" s="101"/>
      <c r="G2050" s="101"/>
      <c r="H2050" s="101"/>
      <c r="I2050" s="101"/>
      <c r="J2050" s="101"/>
      <c r="K2050" s="101"/>
      <c r="L2050" s="101"/>
      <c r="M2050" s="101"/>
      <c r="N2050" s="101"/>
      <c r="O2050" s="101"/>
      <c r="P2050" s="77">
        <v>3546181.92</v>
      </c>
      <c r="BO2050" s="162"/>
      <c r="BP2050" s="184"/>
    </row>
    <row r="2051" spans="1:68" ht="11.25" customHeight="1" x14ac:dyDescent="0.2">
      <c r="A2051" s="47"/>
      <c r="B2051" s="101" t="s">
        <v>298</v>
      </c>
      <c r="C2051" s="101"/>
      <c r="D2051" s="101"/>
      <c r="E2051" s="101"/>
      <c r="F2051" s="101"/>
      <c r="G2051" s="101"/>
      <c r="H2051" s="101"/>
      <c r="I2051" s="101"/>
      <c r="J2051" s="101"/>
      <c r="K2051" s="101"/>
      <c r="L2051" s="101"/>
      <c r="M2051" s="101"/>
      <c r="N2051" s="101"/>
      <c r="O2051" s="101"/>
      <c r="P2051" s="77">
        <v>1614440.0245417212</v>
      </c>
      <c r="BO2051" s="162"/>
      <c r="BP2051" s="184"/>
    </row>
    <row r="2052" spans="1:68" ht="11.25" customHeight="1" x14ac:dyDescent="0.2">
      <c r="A2052" s="47"/>
      <c r="B2052" s="101" t="s">
        <v>299</v>
      </c>
      <c r="C2052" s="101"/>
      <c r="D2052" s="101"/>
      <c r="E2052" s="101"/>
      <c r="F2052" s="101"/>
      <c r="G2052" s="101"/>
      <c r="H2052" s="101"/>
      <c r="I2052" s="101"/>
      <c r="J2052" s="101"/>
      <c r="K2052" s="101"/>
      <c r="L2052" s="101"/>
      <c r="M2052" s="101"/>
      <c r="N2052" s="101"/>
      <c r="O2052" s="101"/>
      <c r="P2052" s="77">
        <v>599582.182682532</v>
      </c>
      <c r="BO2052" s="162"/>
      <c r="BP2052" s="184"/>
    </row>
    <row r="2053" spans="1:68" ht="11.25" customHeight="1" x14ac:dyDescent="0.2">
      <c r="A2053" s="47"/>
      <c r="B2053" s="101" t="s">
        <v>300</v>
      </c>
      <c r="C2053" s="101"/>
      <c r="D2053" s="101"/>
      <c r="E2053" s="101"/>
      <c r="F2053" s="101"/>
      <c r="G2053" s="101"/>
      <c r="H2053" s="101"/>
      <c r="I2053" s="101"/>
      <c r="J2053" s="101"/>
      <c r="K2053" s="101"/>
      <c r="L2053" s="101"/>
      <c r="M2053" s="101"/>
      <c r="N2053" s="101"/>
      <c r="O2053" s="101"/>
      <c r="P2053" s="77">
        <v>617621.64457787375</v>
      </c>
      <c r="BO2053" s="162"/>
      <c r="BP2053" s="184"/>
    </row>
    <row r="2054" spans="1:68" ht="11.25" customHeight="1" x14ac:dyDescent="0.2">
      <c r="A2054" s="47"/>
      <c r="B2054" s="101" t="s">
        <v>301</v>
      </c>
      <c r="C2054" s="101"/>
      <c r="D2054" s="101"/>
      <c r="E2054" s="101"/>
      <c r="F2054" s="101"/>
      <c r="G2054" s="101"/>
      <c r="H2054" s="101"/>
      <c r="I2054" s="101"/>
      <c r="J2054" s="101"/>
      <c r="K2054" s="101"/>
      <c r="L2054" s="101"/>
      <c r="M2054" s="101"/>
      <c r="N2054" s="101"/>
      <c r="O2054" s="101"/>
      <c r="P2054" s="77">
        <v>324458.05699787271</v>
      </c>
      <c r="BO2054" s="162"/>
      <c r="BP2054" s="184"/>
    </row>
    <row r="2055" spans="1:68" ht="11.25" customHeight="1" x14ac:dyDescent="0.2">
      <c r="A2055" s="47"/>
      <c r="B2055" s="101" t="s">
        <v>302</v>
      </c>
      <c r="C2055" s="101"/>
      <c r="D2055" s="101"/>
      <c r="E2055" s="101"/>
      <c r="F2055" s="101"/>
      <c r="G2055" s="101"/>
      <c r="H2055" s="101"/>
      <c r="I2055" s="101"/>
      <c r="J2055" s="101"/>
      <c r="K2055" s="101"/>
      <c r="L2055" s="101"/>
      <c r="M2055" s="101"/>
      <c r="N2055" s="101"/>
      <c r="O2055" s="101"/>
      <c r="P2055" s="77">
        <v>390080.01120000001</v>
      </c>
      <c r="BO2055" s="162"/>
      <c r="BP2055" s="184"/>
    </row>
    <row r="2056" spans="1:68" ht="11.25" customHeight="1" x14ac:dyDescent="0.2">
      <c r="A2056" s="272"/>
      <c r="B2056" s="250" t="s">
        <v>303</v>
      </c>
      <c r="C2056" s="250"/>
      <c r="D2056" s="250"/>
      <c r="E2056" s="250"/>
      <c r="F2056" s="250"/>
      <c r="G2056" s="250"/>
      <c r="H2056" s="250"/>
      <c r="I2056" s="250"/>
      <c r="J2056" s="250"/>
      <c r="K2056" s="250"/>
      <c r="L2056" s="250"/>
      <c r="M2056" s="250"/>
      <c r="N2056" s="250"/>
      <c r="O2056" s="250"/>
      <c r="P2056" s="251">
        <v>3546181.92</v>
      </c>
      <c r="BO2056" s="162"/>
      <c r="BP2056" s="184"/>
    </row>
    <row r="2057" spans="1:68" ht="11.25" customHeight="1" x14ac:dyDescent="0.2">
      <c r="A2057" s="158"/>
      <c r="B2057" s="158"/>
      <c r="C2057" s="85"/>
      <c r="D2057" s="85"/>
      <c r="E2057" s="85"/>
      <c r="F2057" s="85"/>
      <c r="G2057" s="85"/>
      <c r="H2057" s="159"/>
      <c r="I2057" s="160"/>
      <c r="J2057" s="160"/>
      <c r="K2057" s="160"/>
      <c r="L2057" s="161"/>
      <c r="M2057" s="160"/>
      <c r="N2057" s="161"/>
      <c r="O2057" s="160"/>
      <c r="P2057" s="162"/>
      <c r="BO2057" s="184"/>
      <c r="BP2057" s="184"/>
    </row>
    <row r="2058" spans="1:68" ht="11.25" customHeight="1" x14ac:dyDescent="0.2">
      <c r="A2058" s="158"/>
      <c r="B2058" s="158"/>
      <c r="C2058" s="85"/>
      <c r="D2058" s="85"/>
      <c r="E2058" s="85"/>
      <c r="F2058" s="85"/>
      <c r="G2058" s="85"/>
      <c r="H2058" s="159"/>
      <c r="I2058" s="164"/>
      <c r="J2058" s="160"/>
      <c r="K2058" s="164"/>
      <c r="L2058" s="161"/>
      <c r="M2058" s="160"/>
      <c r="N2058" s="161"/>
      <c r="O2058" s="160"/>
      <c r="P2058" s="162"/>
      <c r="BO2058" s="184"/>
      <c r="BP2058" s="184"/>
    </row>
    <row r="2059" spans="1:68" ht="11.25" customHeight="1" x14ac:dyDescent="0.2">
      <c r="A2059" s="158"/>
      <c r="B2059" s="158"/>
      <c r="C2059" s="85"/>
      <c r="D2059" s="85"/>
      <c r="E2059" s="85"/>
      <c r="F2059" s="85"/>
      <c r="G2059" s="85"/>
      <c r="H2059" s="159"/>
      <c r="I2059" s="164"/>
      <c r="J2059" s="160"/>
      <c r="K2059" s="164"/>
      <c r="L2059" s="161"/>
      <c r="M2059" s="160"/>
      <c r="N2059" s="161"/>
      <c r="O2059" s="160"/>
      <c r="P2059" s="162"/>
    </row>
    <row r="2060" spans="1:68" ht="11.25" customHeight="1" x14ac:dyDescent="0.2">
      <c r="A2060" s="148"/>
      <c r="B2060" s="149"/>
      <c r="C2060" s="155"/>
      <c r="D2060" s="155"/>
      <c r="E2060" s="155"/>
      <c r="F2060" s="155"/>
      <c r="G2060" s="155"/>
      <c r="H2060" s="148"/>
      <c r="I2060" s="151"/>
      <c r="J2060" s="151"/>
      <c r="K2060" s="151"/>
      <c r="L2060" s="153"/>
      <c r="M2060" s="151"/>
      <c r="N2060" s="156"/>
      <c r="O2060" s="151"/>
      <c r="P2060" s="162"/>
    </row>
    <row r="2061" spans="1:68" ht="11.25" customHeight="1" x14ac:dyDescent="0.2">
      <c r="A2061" s="148"/>
      <c r="B2061" s="149"/>
      <c r="C2061" s="150"/>
      <c r="D2061" s="150"/>
      <c r="E2061" s="150"/>
      <c r="F2061" s="150"/>
      <c r="G2061" s="150"/>
      <c r="H2061" s="148"/>
      <c r="I2061" s="151"/>
      <c r="J2061" s="152"/>
      <c r="K2061" s="166"/>
      <c r="L2061" s="167"/>
      <c r="M2061" s="168"/>
      <c r="N2061" s="167"/>
      <c r="O2061" s="151"/>
      <c r="P2061" s="156"/>
    </row>
    <row r="2062" spans="1:68" ht="11.25" customHeight="1" x14ac:dyDescent="0.2">
      <c r="A2062" s="148"/>
      <c r="B2062" s="149"/>
      <c r="C2062" s="155"/>
      <c r="D2062" s="155"/>
      <c r="E2062" s="155"/>
      <c r="F2062" s="155"/>
      <c r="G2062" s="155"/>
      <c r="H2062" s="148"/>
      <c r="I2062" s="151"/>
      <c r="J2062" s="151"/>
      <c r="K2062" s="151"/>
      <c r="L2062" s="153"/>
      <c r="M2062" s="151"/>
      <c r="N2062" s="153"/>
      <c r="O2062" s="151"/>
      <c r="P2062" s="156"/>
    </row>
    <row r="2063" spans="1:68" ht="11.25" customHeight="1" x14ac:dyDescent="0.2">
      <c r="A2063" s="148"/>
      <c r="B2063" s="149"/>
      <c r="C2063" s="150"/>
      <c r="D2063" s="150"/>
      <c r="E2063" s="150"/>
      <c r="F2063" s="150"/>
      <c r="G2063" s="150"/>
      <c r="H2063" s="148"/>
      <c r="I2063" s="151"/>
      <c r="J2063" s="152"/>
      <c r="K2063" s="169"/>
      <c r="L2063" s="156"/>
      <c r="M2063" s="168"/>
      <c r="N2063" s="156"/>
      <c r="O2063" s="151"/>
      <c r="P2063" s="156"/>
    </row>
    <row r="2064" spans="1:68" ht="11.25" customHeight="1" x14ac:dyDescent="0.2">
      <c r="A2064" s="148"/>
      <c r="B2064" s="149"/>
      <c r="C2064" s="155"/>
      <c r="D2064" s="155"/>
      <c r="E2064" s="155"/>
      <c r="F2064" s="155"/>
      <c r="G2064" s="155"/>
      <c r="H2064" s="148"/>
      <c r="I2064" s="151"/>
      <c r="J2064" s="151"/>
      <c r="K2064" s="151"/>
      <c r="L2064" s="153"/>
      <c r="M2064" s="151"/>
      <c r="N2064" s="153"/>
      <c r="O2064" s="151"/>
      <c r="P2064" s="156"/>
    </row>
    <row r="2065" spans="1:16" ht="11.25" customHeight="1" x14ac:dyDescent="0.2">
      <c r="A2065" s="148"/>
      <c r="B2065" s="149"/>
      <c r="C2065" s="150"/>
      <c r="D2065" s="150"/>
      <c r="E2065" s="150"/>
      <c r="F2065" s="150"/>
      <c r="G2065" s="150"/>
      <c r="H2065" s="148"/>
      <c r="I2065" s="151"/>
      <c r="J2065" s="152"/>
      <c r="K2065" s="168"/>
      <c r="L2065" s="153"/>
      <c r="M2065" s="151"/>
      <c r="N2065" s="153"/>
      <c r="O2065" s="151"/>
      <c r="P2065" s="156"/>
    </row>
    <row r="2066" spans="1:16" ht="11.25" customHeight="1" x14ac:dyDescent="0.2">
      <c r="A2066" s="84"/>
      <c r="B2066" s="154"/>
      <c r="C2066" s="155"/>
      <c r="D2066" s="155"/>
      <c r="E2066" s="155"/>
      <c r="F2066" s="155"/>
      <c r="G2066" s="155"/>
      <c r="H2066" s="148"/>
      <c r="I2066" s="151"/>
      <c r="J2066" s="151"/>
      <c r="K2066" s="151"/>
      <c r="L2066" s="153"/>
      <c r="M2066" s="151"/>
      <c r="N2066" s="156"/>
      <c r="O2066" s="151"/>
      <c r="P2066" s="156"/>
    </row>
    <row r="2067" spans="1:16" ht="11.25" customHeight="1" x14ac:dyDescent="0.2">
      <c r="A2067" s="158"/>
      <c r="B2067" s="158"/>
      <c r="C2067" s="85"/>
      <c r="D2067" s="85"/>
      <c r="E2067" s="85"/>
      <c r="F2067" s="85"/>
      <c r="G2067" s="85"/>
      <c r="H2067" s="159"/>
      <c r="I2067" s="160"/>
      <c r="J2067" s="160"/>
      <c r="K2067" s="160"/>
      <c r="L2067" s="161"/>
      <c r="M2067" s="160"/>
      <c r="N2067" s="161"/>
      <c r="O2067" s="160"/>
      <c r="P2067" s="162"/>
    </row>
    <row r="2068" spans="1:16" ht="11.25" customHeight="1" x14ac:dyDescent="0.2">
      <c r="A2068" s="158"/>
      <c r="B2068" s="158"/>
      <c r="C2068" s="85"/>
      <c r="D2068" s="85"/>
      <c r="E2068" s="85"/>
      <c r="F2068" s="85"/>
      <c r="G2068" s="85"/>
      <c r="H2068" s="159"/>
      <c r="I2068" s="164"/>
      <c r="J2068" s="160"/>
      <c r="K2068" s="164"/>
      <c r="L2068" s="161"/>
      <c r="M2068" s="160"/>
      <c r="N2068" s="161"/>
      <c r="O2068" s="160"/>
      <c r="P2068" s="162"/>
    </row>
    <row r="2069" spans="1:16" ht="11.25" customHeight="1" x14ac:dyDescent="0.2">
      <c r="A2069" s="158"/>
      <c r="B2069" s="158"/>
      <c r="C2069" s="85"/>
      <c r="D2069" s="85"/>
      <c r="E2069" s="85"/>
      <c r="F2069" s="85"/>
      <c r="G2069" s="85"/>
      <c r="H2069" s="159"/>
      <c r="I2069" s="164"/>
      <c r="J2069" s="160"/>
      <c r="K2069" s="164"/>
      <c r="L2069" s="161"/>
      <c r="M2069" s="160"/>
      <c r="N2069" s="161"/>
      <c r="O2069" s="160"/>
      <c r="P2069" s="162"/>
    </row>
    <row r="2070" spans="1:16" ht="11.25" customHeight="1" x14ac:dyDescent="0.2">
      <c r="A2070" s="148"/>
      <c r="B2070" s="149"/>
      <c r="C2070" s="155"/>
      <c r="D2070" s="155"/>
      <c r="E2070" s="155"/>
      <c r="F2070" s="155"/>
      <c r="G2070" s="155"/>
      <c r="H2070" s="148"/>
      <c r="I2070" s="151"/>
      <c r="J2070" s="151"/>
      <c r="K2070" s="151"/>
      <c r="L2070" s="153"/>
      <c r="M2070" s="151"/>
      <c r="N2070" s="156"/>
      <c r="O2070" s="151"/>
      <c r="P2070" s="156"/>
    </row>
    <row r="2071" spans="1:16" ht="11.25" customHeight="1" x14ac:dyDescent="0.2">
      <c r="A2071" s="148"/>
      <c r="B2071" s="149"/>
      <c r="C2071" s="150"/>
      <c r="D2071" s="150"/>
      <c r="E2071" s="150"/>
      <c r="F2071" s="150"/>
      <c r="G2071" s="150"/>
      <c r="H2071" s="148"/>
      <c r="I2071" s="151"/>
      <c r="J2071" s="152"/>
      <c r="K2071" s="152"/>
      <c r="L2071" s="156"/>
      <c r="M2071" s="168"/>
      <c r="N2071" s="156"/>
      <c r="O2071" s="151"/>
      <c r="P2071" s="156"/>
    </row>
    <row r="2072" spans="1:16" ht="11.25" customHeight="1" x14ac:dyDescent="0.2">
      <c r="A2072" s="148"/>
      <c r="B2072" s="149"/>
      <c r="C2072" s="155"/>
      <c r="D2072" s="155"/>
      <c r="E2072" s="155"/>
      <c r="F2072" s="155"/>
      <c r="G2072" s="155"/>
      <c r="H2072" s="148"/>
      <c r="I2072" s="151"/>
      <c r="J2072" s="151"/>
      <c r="K2072" s="151"/>
      <c r="L2072" s="153"/>
      <c r="M2072" s="151"/>
      <c r="N2072" s="153"/>
      <c r="O2072" s="151"/>
      <c r="P2072" s="156"/>
    </row>
    <row r="2073" spans="1:16" ht="11.25" customHeight="1" x14ac:dyDescent="0.2">
      <c r="A2073" s="148"/>
      <c r="B2073" s="149"/>
      <c r="C2073" s="150"/>
      <c r="D2073" s="150"/>
      <c r="E2073" s="150"/>
      <c r="F2073" s="150"/>
      <c r="G2073" s="150"/>
      <c r="H2073" s="148"/>
      <c r="I2073" s="151"/>
      <c r="J2073" s="152"/>
      <c r="K2073" s="168"/>
      <c r="L2073" s="153"/>
      <c r="M2073" s="151"/>
      <c r="N2073" s="153"/>
      <c r="O2073" s="151"/>
      <c r="P2073" s="156"/>
    </row>
    <row r="2074" spans="1:16" ht="11.25" customHeight="1" x14ac:dyDescent="0.2">
      <c r="A2074" s="84"/>
      <c r="B2074" s="154"/>
      <c r="C2074" s="155"/>
      <c r="D2074" s="155"/>
      <c r="E2074" s="155"/>
      <c r="F2074" s="155"/>
      <c r="G2074" s="155"/>
      <c r="H2074" s="148"/>
      <c r="I2074" s="151"/>
      <c r="J2074" s="151"/>
      <c r="K2074" s="151"/>
      <c r="L2074" s="153"/>
      <c r="M2074" s="151"/>
      <c r="N2074" s="156"/>
      <c r="O2074" s="151"/>
      <c r="P2074" s="156"/>
    </row>
    <row r="2075" spans="1:16" ht="11.25" customHeight="1" x14ac:dyDescent="0.2">
      <c r="A2075" s="158"/>
      <c r="B2075" s="158"/>
      <c r="C2075" s="85"/>
      <c r="D2075" s="85"/>
      <c r="E2075" s="85"/>
      <c r="F2075" s="85"/>
      <c r="G2075" s="85"/>
      <c r="H2075" s="159"/>
      <c r="I2075" s="160"/>
      <c r="J2075" s="160"/>
      <c r="K2075" s="160"/>
      <c r="L2075" s="161"/>
      <c r="M2075" s="160"/>
      <c r="N2075" s="161"/>
      <c r="O2075" s="160"/>
      <c r="P2075" s="162"/>
    </row>
    <row r="2076" spans="1:16" ht="11.25" customHeight="1" x14ac:dyDescent="0.2">
      <c r="A2076" s="158"/>
      <c r="B2076" s="158"/>
      <c r="C2076" s="85"/>
      <c r="D2076" s="85"/>
      <c r="E2076" s="85"/>
      <c r="F2076" s="85"/>
      <c r="G2076" s="85"/>
      <c r="H2076" s="159"/>
      <c r="I2076" s="164"/>
      <c r="J2076" s="160"/>
      <c r="K2076" s="164"/>
      <c r="L2076" s="161"/>
      <c r="M2076" s="160"/>
      <c r="N2076" s="161"/>
      <c r="O2076" s="160"/>
      <c r="P2076" s="162"/>
    </row>
    <row r="2077" spans="1:16" ht="11.25" customHeight="1" x14ac:dyDescent="0.2">
      <c r="A2077" s="158"/>
      <c r="B2077" s="158"/>
      <c r="C2077" s="85"/>
      <c r="D2077" s="85"/>
      <c r="E2077" s="85"/>
      <c r="F2077" s="85"/>
      <c r="G2077" s="85"/>
      <c r="H2077" s="159"/>
      <c r="I2077" s="164"/>
      <c r="J2077" s="160"/>
      <c r="K2077" s="164"/>
      <c r="L2077" s="161"/>
      <c r="M2077" s="160"/>
      <c r="N2077" s="161"/>
      <c r="O2077" s="160"/>
      <c r="P2077" s="162"/>
    </row>
    <row r="2078" spans="1:16" ht="11.25" customHeight="1" x14ac:dyDescent="0.2">
      <c r="A2078" s="148"/>
      <c r="B2078" s="149"/>
      <c r="C2078" s="155"/>
      <c r="D2078" s="155"/>
      <c r="E2078" s="155"/>
      <c r="F2078" s="155"/>
      <c r="G2078" s="155"/>
      <c r="H2078" s="148"/>
      <c r="I2078" s="151"/>
      <c r="J2078" s="151"/>
      <c r="K2078" s="151"/>
      <c r="L2078" s="153"/>
      <c r="M2078" s="151"/>
      <c r="N2078" s="156"/>
      <c r="O2078" s="151"/>
      <c r="P2078" s="156"/>
    </row>
    <row r="2079" spans="1:16" ht="11.25" customHeight="1" x14ac:dyDescent="0.2">
      <c r="A2079" s="148"/>
      <c r="B2079" s="149"/>
      <c r="C2079" s="150"/>
      <c r="D2079" s="150"/>
      <c r="E2079" s="150"/>
      <c r="F2079" s="150"/>
      <c r="G2079" s="150"/>
      <c r="H2079" s="148"/>
      <c r="I2079" s="151"/>
      <c r="J2079" s="152"/>
      <c r="K2079" s="152"/>
      <c r="L2079" s="167"/>
      <c r="M2079" s="168"/>
      <c r="N2079" s="167"/>
      <c r="O2079" s="151"/>
      <c r="P2079" s="156"/>
    </row>
    <row r="2080" spans="1:16" ht="11.25" customHeight="1" x14ac:dyDescent="0.2">
      <c r="A2080" s="148"/>
      <c r="B2080" s="149"/>
      <c r="C2080" s="155"/>
      <c r="D2080" s="155"/>
      <c r="E2080" s="155"/>
      <c r="F2080" s="155"/>
      <c r="G2080" s="155"/>
      <c r="H2080" s="148"/>
      <c r="I2080" s="151"/>
      <c r="J2080" s="151"/>
      <c r="K2080" s="151"/>
      <c r="L2080" s="153"/>
      <c r="M2080" s="151"/>
      <c r="N2080" s="153"/>
      <c r="O2080" s="151"/>
      <c r="P2080" s="156"/>
    </row>
    <row r="2081" spans="1:16" ht="11.25" customHeight="1" x14ac:dyDescent="0.2">
      <c r="A2081" s="148"/>
      <c r="B2081" s="149"/>
      <c r="C2081" s="150"/>
      <c r="D2081" s="150"/>
      <c r="E2081" s="150"/>
      <c r="F2081" s="150"/>
      <c r="G2081" s="150"/>
      <c r="H2081" s="148"/>
      <c r="I2081" s="151"/>
      <c r="J2081" s="152"/>
      <c r="K2081" s="171"/>
      <c r="L2081" s="156"/>
      <c r="M2081" s="168"/>
      <c r="N2081" s="156"/>
      <c r="O2081" s="151"/>
      <c r="P2081" s="156"/>
    </row>
    <row r="2082" spans="1:16" ht="11.25" customHeight="1" x14ac:dyDescent="0.2">
      <c r="A2082" s="148"/>
      <c r="B2082" s="149"/>
      <c r="C2082" s="155"/>
      <c r="D2082" s="155"/>
      <c r="E2082" s="155"/>
      <c r="F2082" s="155"/>
      <c r="G2082" s="155"/>
      <c r="H2082" s="148"/>
      <c r="I2082" s="151"/>
      <c r="J2082" s="151"/>
      <c r="K2082" s="151"/>
      <c r="L2082" s="153"/>
      <c r="M2082" s="151"/>
      <c r="N2082" s="153"/>
      <c r="O2082" s="151"/>
      <c r="P2082" s="156"/>
    </row>
    <row r="2083" spans="1:16" ht="11.25" customHeight="1" x14ac:dyDescent="0.2">
      <c r="A2083" s="144"/>
      <c r="B2083" s="144"/>
      <c r="C2083" s="144"/>
      <c r="D2083" s="144"/>
      <c r="E2083" s="144"/>
      <c r="F2083" s="144"/>
      <c r="G2083" s="144"/>
      <c r="H2083" s="144"/>
      <c r="I2083" s="144"/>
      <c r="J2083" s="144"/>
      <c r="K2083" s="144"/>
      <c r="L2083" s="144"/>
      <c r="M2083" s="144"/>
      <c r="N2083" s="144"/>
      <c r="O2083" s="144"/>
      <c r="P2083" s="144"/>
    </row>
    <row r="2084" spans="1:16" ht="11.25" customHeight="1" x14ac:dyDescent="0.2">
      <c r="A2084" s="148"/>
      <c r="B2084" s="149"/>
      <c r="C2084" s="172"/>
      <c r="D2084" s="172"/>
      <c r="E2084" s="172"/>
      <c r="F2084" s="172"/>
      <c r="G2084" s="172"/>
      <c r="H2084" s="148"/>
      <c r="I2084" s="166"/>
      <c r="J2084" s="152"/>
      <c r="K2084" s="166"/>
      <c r="L2084" s="153"/>
      <c r="M2084" s="151"/>
      <c r="N2084" s="153"/>
      <c r="O2084" s="151"/>
      <c r="P2084" s="153"/>
    </row>
    <row r="2085" spans="1:16" ht="11.25" customHeight="1" x14ac:dyDescent="0.2">
      <c r="A2085" s="84"/>
      <c r="B2085" s="154"/>
      <c r="C2085" s="173"/>
      <c r="D2085" s="173"/>
      <c r="E2085" s="173"/>
      <c r="F2085" s="173"/>
      <c r="G2085" s="173"/>
      <c r="H2085" s="148"/>
      <c r="I2085" s="151"/>
      <c r="J2085" s="151"/>
      <c r="K2085" s="151"/>
      <c r="L2085" s="153"/>
      <c r="M2085" s="151"/>
      <c r="N2085" s="156"/>
      <c r="O2085" s="151"/>
      <c r="P2085" s="156"/>
    </row>
    <row r="2086" spans="1:16" ht="11.25" customHeight="1" x14ac:dyDescent="0.2">
      <c r="A2086" s="158"/>
      <c r="B2086" s="158"/>
      <c r="C2086" s="174"/>
      <c r="D2086" s="174"/>
      <c r="E2086" s="174"/>
      <c r="F2086" s="174"/>
      <c r="G2086" s="174"/>
      <c r="H2086" s="159"/>
      <c r="I2086" s="160"/>
      <c r="J2086" s="160"/>
      <c r="K2086" s="160"/>
      <c r="L2086" s="161"/>
      <c r="M2086" s="160"/>
      <c r="N2086" s="161"/>
      <c r="O2086" s="160"/>
      <c r="P2086" s="162"/>
    </row>
    <row r="2087" spans="1:16" ht="11.25" customHeight="1" x14ac:dyDescent="0.2">
      <c r="A2087" s="158"/>
      <c r="B2087" s="158"/>
      <c r="C2087" s="174"/>
      <c r="D2087" s="174"/>
      <c r="E2087" s="174"/>
      <c r="F2087" s="174"/>
      <c r="G2087" s="174"/>
      <c r="H2087" s="159"/>
      <c r="I2087" s="164"/>
      <c r="J2087" s="160"/>
      <c r="K2087" s="164"/>
      <c r="L2087" s="161"/>
      <c r="M2087" s="160"/>
      <c r="N2087" s="161"/>
      <c r="O2087" s="160"/>
      <c r="P2087" s="162"/>
    </row>
    <row r="2088" spans="1:16" ht="11.25" customHeight="1" x14ac:dyDescent="0.2">
      <c r="A2088" s="158"/>
      <c r="B2088" s="158"/>
      <c r="C2088" s="174"/>
      <c r="D2088" s="174"/>
      <c r="E2088" s="174"/>
      <c r="F2088" s="174"/>
      <c r="G2088" s="174"/>
      <c r="H2088" s="159"/>
      <c r="I2088" s="164"/>
      <c r="J2088" s="160"/>
      <c r="K2088" s="164"/>
      <c r="L2088" s="161"/>
      <c r="M2088" s="160"/>
      <c r="N2088" s="161"/>
      <c r="O2088" s="160"/>
      <c r="P2088" s="162"/>
    </row>
    <row r="2089" spans="1:16" ht="11.25" customHeight="1" x14ac:dyDescent="0.2">
      <c r="A2089" s="148"/>
      <c r="B2089" s="149"/>
      <c r="C2089" s="173"/>
      <c r="D2089" s="173"/>
      <c r="E2089" s="173"/>
      <c r="F2089" s="173"/>
      <c r="G2089" s="173"/>
      <c r="H2089" s="148"/>
      <c r="I2089" s="151"/>
      <c r="J2089" s="151"/>
      <c r="K2089" s="151"/>
      <c r="L2089" s="153"/>
      <c r="M2089" s="151"/>
      <c r="N2089" s="156"/>
      <c r="O2089" s="151"/>
      <c r="P2089" s="156"/>
    </row>
    <row r="2090" spans="1:16" ht="11.25" customHeight="1" x14ac:dyDescent="0.2">
      <c r="A2090" s="148"/>
      <c r="B2090" s="149"/>
      <c r="C2090" s="172"/>
      <c r="D2090" s="172"/>
      <c r="E2090" s="172"/>
      <c r="F2090" s="172"/>
      <c r="G2090" s="172"/>
      <c r="H2090" s="148"/>
      <c r="I2090" s="151"/>
      <c r="J2090" s="152"/>
      <c r="K2090" s="175"/>
      <c r="L2090" s="167"/>
      <c r="M2090" s="168"/>
      <c r="N2090" s="167"/>
      <c r="O2090" s="151"/>
      <c r="P2090" s="156"/>
    </row>
    <row r="2091" spans="1:16" ht="11.25" customHeight="1" x14ac:dyDescent="0.2">
      <c r="A2091" s="148"/>
      <c r="B2091" s="149"/>
      <c r="C2091" s="155"/>
      <c r="D2091" s="155"/>
      <c r="E2091" s="155"/>
      <c r="F2091" s="155"/>
      <c r="G2091" s="155"/>
      <c r="H2091" s="148"/>
      <c r="I2091" s="151"/>
      <c r="J2091" s="151"/>
      <c r="K2091" s="151"/>
      <c r="L2091" s="153"/>
      <c r="M2091" s="151"/>
      <c r="N2091" s="153"/>
      <c r="O2091" s="151"/>
      <c r="P2091" s="156"/>
    </row>
    <row r="2092" spans="1:16" ht="11.25" customHeight="1" x14ac:dyDescent="0.2">
      <c r="A2092" s="148"/>
      <c r="B2092" s="149"/>
      <c r="C2092" s="150"/>
      <c r="D2092" s="150"/>
      <c r="E2092" s="150"/>
      <c r="F2092" s="150"/>
      <c r="G2092" s="150"/>
      <c r="H2092" s="148"/>
      <c r="I2092" s="151"/>
      <c r="J2092" s="152"/>
      <c r="K2092" s="166"/>
      <c r="L2092" s="153"/>
      <c r="M2092" s="151"/>
      <c r="N2092" s="153"/>
      <c r="O2092" s="151"/>
      <c r="P2092" s="156"/>
    </row>
    <row r="2093" spans="1:16" ht="11.25" customHeight="1" x14ac:dyDescent="0.2">
      <c r="A2093" s="84"/>
      <c r="B2093" s="154"/>
      <c r="C2093" s="155"/>
      <c r="D2093" s="155"/>
      <c r="E2093" s="155"/>
      <c r="F2093" s="155"/>
      <c r="G2093" s="155"/>
      <c r="H2093" s="148"/>
      <c r="I2093" s="151"/>
      <c r="J2093" s="151"/>
      <c r="K2093" s="151"/>
      <c r="L2093" s="153"/>
      <c r="M2093" s="151"/>
      <c r="N2093" s="156"/>
      <c r="O2093" s="151"/>
      <c r="P2093" s="156"/>
    </row>
    <row r="2094" spans="1:16" ht="11.25" customHeight="1" x14ac:dyDescent="0.2">
      <c r="A2094" s="158"/>
      <c r="B2094" s="158"/>
      <c r="C2094" s="85"/>
      <c r="D2094" s="85"/>
      <c r="E2094" s="85"/>
      <c r="F2094" s="85"/>
      <c r="G2094" s="85"/>
      <c r="H2094" s="159"/>
      <c r="I2094" s="160"/>
      <c r="J2094" s="160"/>
      <c r="K2094" s="160"/>
      <c r="L2094" s="161"/>
      <c r="M2094" s="160"/>
      <c r="N2094" s="161"/>
      <c r="O2094" s="160"/>
      <c r="P2094" s="162"/>
    </row>
    <row r="2095" spans="1:16" ht="11.25" customHeight="1" x14ac:dyDescent="0.2">
      <c r="A2095" s="158"/>
      <c r="B2095" s="158"/>
      <c r="C2095" s="85"/>
      <c r="D2095" s="85"/>
      <c r="E2095" s="85"/>
      <c r="F2095" s="85"/>
      <c r="G2095" s="85"/>
      <c r="H2095" s="159"/>
      <c r="I2095" s="164"/>
      <c r="J2095" s="160"/>
      <c r="K2095" s="164"/>
      <c r="L2095" s="161"/>
      <c r="M2095" s="160"/>
      <c r="N2095" s="161"/>
      <c r="O2095" s="160"/>
      <c r="P2095" s="162"/>
    </row>
    <row r="2096" spans="1:16" ht="11.25" customHeight="1" x14ac:dyDescent="0.2">
      <c r="A2096" s="158"/>
      <c r="B2096" s="158"/>
      <c r="C2096" s="85"/>
      <c r="D2096" s="85"/>
      <c r="E2096" s="85"/>
      <c r="F2096" s="85"/>
      <c r="G2096" s="85"/>
      <c r="H2096" s="159"/>
      <c r="I2096" s="164"/>
      <c r="J2096" s="160"/>
      <c r="K2096" s="164"/>
      <c r="L2096" s="161"/>
      <c r="M2096" s="160"/>
      <c r="N2096" s="161"/>
      <c r="O2096" s="160"/>
      <c r="P2096" s="162"/>
    </row>
    <row r="2097" spans="1:16" ht="11.25" customHeight="1" x14ac:dyDescent="0.2">
      <c r="A2097" s="148"/>
      <c r="B2097" s="149"/>
      <c r="C2097" s="155"/>
      <c r="D2097" s="155"/>
      <c r="E2097" s="155"/>
      <c r="F2097" s="155"/>
      <c r="G2097" s="155"/>
      <c r="H2097" s="148"/>
      <c r="I2097" s="151"/>
      <c r="J2097" s="151"/>
      <c r="K2097" s="151"/>
      <c r="L2097" s="153"/>
      <c r="M2097" s="151"/>
      <c r="N2097" s="156"/>
      <c r="O2097" s="151"/>
      <c r="P2097" s="156"/>
    </row>
    <row r="2098" spans="1:16" ht="11.25" customHeight="1" x14ac:dyDescent="0.2">
      <c r="A2098" s="148"/>
      <c r="B2098" s="149"/>
      <c r="C2098" s="150"/>
      <c r="D2098" s="150"/>
      <c r="E2098" s="150"/>
      <c r="F2098" s="150"/>
      <c r="G2098" s="150"/>
      <c r="H2098" s="148"/>
      <c r="I2098" s="151"/>
      <c r="J2098" s="152"/>
      <c r="K2098" s="166"/>
      <c r="L2098" s="167"/>
      <c r="M2098" s="175"/>
      <c r="N2098" s="167"/>
      <c r="O2098" s="151"/>
      <c r="P2098" s="156"/>
    </row>
    <row r="2099" spans="1:16" ht="11.25" customHeight="1" x14ac:dyDescent="0.2">
      <c r="A2099" s="148"/>
      <c r="B2099" s="149"/>
      <c r="C2099" s="155"/>
      <c r="D2099" s="155"/>
      <c r="E2099" s="155"/>
      <c r="F2099" s="155"/>
      <c r="G2099" s="155"/>
      <c r="H2099" s="148"/>
      <c r="I2099" s="151"/>
      <c r="J2099" s="151"/>
      <c r="K2099" s="151"/>
      <c r="L2099" s="153"/>
      <c r="M2099" s="151"/>
      <c r="N2099" s="153"/>
      <c r="O2099" s="151"/>
      <c r="P2099" s="156"/>
    </row>
    <row r="2100" spans="1:16" ht="11.25" customHeight="1" x14ac:dyDescent="0.2">
      <c r="A2100" s="148"/>
      <c r="B2100" s="149"/>
      <c r="C2100" s="150"/>
      <c r="D2100" s="150"/>
      <c r="E2100" s="150"/>
      <c r="F2100" s="150"/>
      <c r="G2100" s="150"/>
      <c r="H2100" s="148"/>
      <c r="I2100" s="151"/>
      <c r="J2100" s="152"/>
      <c r="K2100" s="166"/>
      <c r="L2100" s="153"/>
      <c r="M2100" s="151"/>
      <c r="N2100" s="153"/>
      <c r="O2100" s="151"/>
      <c r="P2100" s="156"/>
    </row>
    <row r="2101" spans="1:16" ht="11.25" customHeight="1" x14ac:dyDescent="0.2">
      <c r="A2101" s="84"/>
      <c r="B2101" s="154"/>
      <c r="C2101" s="155"/>
      <c r="D2101" s="155"/>
      <c r="E2101" s="155"/>
      <c r="F2101" s="155"/>
      <c r="G2101" s="155"/>
      <c r="H2101" s="148"/>
      <c r="I2101" s="151"/>
      <c r="J2101" s="151"/>
      <c r="K2101" s="151"/>
      <c r="L2101" s="153"/>
      <c r="M2101" s="151"/>
      <c r="N2101" s="156"/>
      <c r="O2101" s="151"/>
      <c r="P2101" s="156"/>
    </row>
    <row r="2102" spans="1:16" ht="11.25" customHeight="1" x14ac:dyDescent="0.2">
      <c r="A2102" s="158"/>
      <c r="B2102" s="158"/>
      <c r="C2102" s="85"/>
      <c r="D2102" s="85"/>
      <c r="E2102" s="85"/>
      <c r="F2102" s="85"/>
      <c r="G2102" s="85"/>
      <c r="H2102" s="159"/>
      <c r="I2102" s="160"/>
      <c r="J2102" s="160"/>
      <c r="K2102" s="160"/>
      <c r="L2102" s="161"/>
      <c r="M2102" s="160"/>
      <c r="N2102" s="161"/>
      <c r="O2102" s="160"/>
      <c r="P2102" s="162"/>
    </row>
    <row r="2103" spans="1:16" ht="11.25" customHeight="1" x14ac:dyDescent="0.2">
      <c r="A2103" s="158"/>
      <c r="B2103" s="158"/>
      <c r="C2103" s="85"/>
      <c r="D2103" s="85"/>
      <c r="E2103" s="85"/>
      <c r="F2103" s="85"/>
      <c r="G2103" s="85"/>
      <c r="H2103" s="159"/>
      <c r="I2103" s="164"/>
      <c r="J2103" s="160"/>
      <c r="K2103" s="164"/>
      <c r="L2103" s="161"/>
      <c r="M2103" s="160"/>
      <c r="N2103" s="161"/>
      <c r="O2103" s="160"/>
      <c r="P2103" s="162"/>
    </row>
    <row r="2104" spans="1:16" ht="11.25" customHeight="1" x14ac:dyDescent="0.2">
      <c r="A2104" s="158"/>
      <c r="B2104" s="158"/>
      <c r="C2104" s="85"/>
      <c r="D2104" s="85"/>
      <c r="E2104" s="85"/>
      <c r="F2104" s="85"/>
      <c r="G2104" s="85"/>
      <c r="H2104" s="159"/>
      <c r="I2104" s="164"/>
      <c r="J2104" s="160"/>
      <c r="K2104" s="164"/>
      <c r="L2104" s="161"/>
      <c r="M2104" s="160"/>
      <c r="N2104" s="161"/>
      <c r="O2104" s="160"/>
      <c r="P2104" s="162"/>
    </row>
    <row r="2105" spans="1:16" ht="11.25" customHeight="1" x14ac:dyDescent="0.2">
      <c r="A2105" s="148"/>
      <c r="B2105" s="149"/>
      <c r="C2105" s="155"/>
      <c r="D2105" s="155"/>
      <c r="E2105" s="155"/>
      <c r="F2105" s="155"/>
      <c r="G2105" s="155"/>
      <c r="H2105" s="148"/>
      <c r="I2105" s="151"/>
      <c r="J2105" s="151"/>
      <c r="K2105" s="151"/>
      <c r="L2105" s="153"/>
      <c r="M2105" s="151"/>
      <c r="N2105" s="156"/>
      <c r="O2105" s="151"/>
      <c r="P2105" s="156"/>
    </row>
    <row r="2106" spans="1:16" ht="11.25" customHeight="1" x14ac:dyDescent="0.2">
      <c r="A2106" s="148"/>
      <c r="B2106" s="149"/>
      <c r="C2106" s="150"/>
      <c r="D2106" s="150"/>
      <c r="E2106" s="150"/>
      <c r="F2106" s="150"/>
      <c r="G2106" s="150"/>
      <c r="H2106" s="148"/>
      <c r="I2106" s="151"/>
      <c r="J2106" s="152"/>
      <c r="K2106" s="168"/>
      <c r="L2106" s="167"/>
      <c r="M2106" s="168"/>
      <c r="N2106" s="167"/>
      <c r="O2106" s="151"/>
      <c r="P2106" s="156"/>
    </row>
    <row r="2107" spans="1:16" ht="11.25" customHeight="1" x14ac:dyDescent="0.2">
      <c r="A2107" s="148"/>
      <c r="B2107" s="149"/>
      <c r="C2107" s="155"/>
      <c r="D2107" s="155"/>
      <c r="E2107" s="155"/>
      <c r="F2107" s="155"/>
      <c r="G2107" s="155"/>
      <c r="H2107" s="148"/>
      <c r="I2107" s="151"/>
      <c r="J2107" s="151"/>
      <c r="K2107" s="151"/>
      <c r="L2107" s="153"/>
      <c r="M2107" s="151"/>
      <c r="N2107" s="153"/>
      <c r="O2107" s="151"/>
      <c r="P2107" s="156"/>
    </row>
    <row r="2108" spans="1:16" ht="11.25" customHeight="1" x14ac:dyDescent="0.2">
      <c r="A2108" s="148"/>
      <c r="B2108" s="149"/>
      <c r="C2108" s="150"/>
      <c r="D2108" s="150"/>
      <c r="E2108" s="150"/>
      <c r="F2108" s="150"/>
      <c r="G2108" s="150"/>
      <c r="H2108" s="148"/>
      <c r="I2108" s="151"/>
      <c r="J2108" s="152"/>
      <c r="K2108" s="166"/>
      <c r="L2108" s="167"/>
      <c r="M2108" s="168"/>
      <c r="N2108" s="167"/>
      <c r="O2108" s="151"/>
      <c r="P2108" s="156"/>
    </row>
    <row r="2109" spans="1:16" ht="11.25" customHeight="1" x14ac:dyDescent="0.2">
      <c r="A2109" s="148"/>
      <c r="B2109" s="149"/>
      <c r="C2109" s="155"/>
      <c r="D2109" s="155"/>
      <c r="E2109" s="155"/>
      <c r="F2109" s="155"/>
      <c r="G2109" s="155"/>
      <c r="H2109" s="148"/>
      <c r="I2109" s="151"/>
      <c r="J2109" s="151"/>
      <c r="K2109" s="151"/>
      <c r="L2109" s="153"/>
      <c r="M2109" s="151"/>
      <c r="N2109" s="153"/>
      <c r="O2109" s="151"/>
      <c r="P2109" s="156"/>
    </row>
    <row r="2110" spans="1:16" ht="11.25" customHeight="1" x14ac:dyDescent="0.2">
      <c r="A2110" s="148"/>
      <c r="B2110" s="149"/>
      <c r="C2110" s="150"/>
      <c r="D2110" s="150"/>
      <c r="E2110" s="150"/>
      <c r="F2110" s="150"/>
      <c r="G2110" s="150"/>
      <c r="H2110" s="148"/>
      <c r="I2110" s="151"/>
      <c r="J2110" s="152"/>
      <c r="K2110" s="171"/>
      <c r="L2110" s="167"/>
      <c r="M2110" s="175"/>
      <c r="N2110" s="167"/>
      <c r="O2110" s="151"/>
      <c r="P2110" s="156"/>
    </row>
    <row r="2111" spans="1:16" ht="11.25" customHeight="1" x14ac:dyDescent="0.2">
      <c r="A2111" s="148"/>
      <c r="B2111" s="149"/>
      <c r="C2111" s="155"/>
      <c r="D2111" s="155"/>
      <c r="E2111" s="155"/>
      <c r="F2111" s="155"/>
      <c r="G2111" s="155"/>
      <c r="H2111" s="148"/>
      <c r="I2111" s="151"/>
      <c r="J2111" s="151"/>
      <c r="K2111" s="151"/>
      <c r="L2111" s="153"/>
      <c r="M2111" s="151"/>
      <c r="N2111" s="153"/>
      <c r="O2111" s="151"/>
      <c r="P2111" s="156"/>
    </row>
    <row r="2112" spans="1:16" ht="11.25" customHeight="1" x14ac:dyDescent="0.2">
      <c r="A2112" s="148"/>
      <c r="B2112" s="149"/>
      <c r="C2112" s="150"/>
      <c r="D2112" s="150"/>
      <c r="E2112" s="150"/>
      <c r="F2112" s="150"/>
      <c r="G2112" s="150"/>
      <c r="H2112" s="148"/>
      <c r="I2112" s="151"/>
      <c r="J2112" s="152"/>
      <c r="K2112" s="168"/>
      <c r="L2112" s="153"/>
      <c r="M2112" s="151"/>
      <c r="N2112" s="153"/>
      <c r="O2112" s="151"/>
      <c r="P2112" s="156"/>
    </row>
    <row r="2113" spans="1:16" ht="11.25" customHeight="1" x14ac:dyDescent="0.2">
      <c r="A2113" s="84"/>
      <c r="B2113" s="154"/>
      <c r="C2113" s="155"/>
      <c r="D2113" s="155"/>
      <c r="E2113" s="155"/>
      <c r="F2113" s="155"/>
      <c r="G2113" s="155"/>
      <c r="H2113" s="148"/>
      <c r="I2113" s="151"/>
      <c r="J2113" s="151"/>
      <c r="K2113" s="151"/>
      <c r="L2113" s="153"/>
      <c r="M2113" s="151"/>
      <c r="N2113" s="156"/>
      <c r="O2113" s="151"/>
      <c r="P2113" s="156"/>
    </row>
    <row r="2114" spans="1:16" ht="11.25" customHeight="1" x14ac:dyDescent="0.2">
      <c r="A2114" s="158"/>
      <c r="B2114" s="158"/>
      <c r="C2114" s="85"/>
      <c r="D2114" s="85"/>
      <c r="E2114" s="85"/>
      <c r="F2114" s="85"/>
      <c r="G2114" s="85"/>
      <c r="H2114" s="159"/>
      <c r="I2114" s="160"/>
      <c r="J2114" s="160"/>
      <c r="K2114" s="160"/>
      <c r="L2114" s="161"/>
      <c r="M2114" s="160"/>
      <c r="N2114" s="161"/>
      <c r="O2114" s="160"/>
      <c r="P2114" s="162"/>
    </row>
    <row r="2115" spans="1:16" ht="11.25" customHeight="1" x14ac:dyDescent="0.2">
      <c r="A2115" s="158"/>
      <c r="B2115" s="158"/>
      <c r="C2115" s="85"/>
      <c r="D2115" s="85"/>
      <c r="E2115" s="85"/>
      <c r="F2115" s="85"/>
      <c r="G2115" s="85"/>
      <c r="H2115" s="159"/>
      <c r="I2115" s="164"/>
      <c r="J2115" s="160"/>
      <c r="K2115" s="164"/>
      <c r="L2115" s="161"/>
      <c r="M2115" s="160"/>
      <c r="N2115" s="161"/>
      <c r="O2115" s="160"/>
      <c r="P2115" s="162"/>
    </row>
    <row r="2116" spans="1:16" ht="11.25" customHeight="1" x14ac:dyDescent="0.2">
      <c r="A2116" s="158"/>
      <c r="B2116" s="158"/>
      <c r="C2116" s="85"/>
      <c r="D2116" s="85"/>
      <c r="E2116" s="85"/>
      <c r="F2116" s="85"/>
      <c r="G2116" s="85"/>
      <c r="H2116" s="159"/>
      <c r="I2116" s="164"/>
      <c r="J2116" s="160"/>
      <c r="K2116" s="164"/>
      <c r="L2116" s="161"/>
      <c r="M2116" s="160"/>
      <c r="N2116" s="161"/>
      <c r="O2116" s="160"/>
      <c r="P2116" s="162"/>
    </row>
    <row r="2117" spans="1:16" ht="11.25" customHeight="1" x14ac:dyDescent="0.2">
      <c r="A2117" s="148"/>
      <c r="B2117" s="149"/>
      <c r="C2117" s="155"/>
      <c r="D2117" s="155"/>
      <c r="E2117" s="155"/>
      <c r="F2117" s="155"/>
      <c r="G2117" s="155"/>
      <c r="H2117" s="148"/>
      <c r="I2117" s="151"/>
      <c r="J2117" s="151"/>
      <c r="K2117" s="151"/>
      <c r="L2117" s="153"/>
      <c r="M2117" s="151"/>
      <c r="N2117" s="156"/>
      <c r="O2117" s="151"/>
      <c r="P2117" s="156"/>
    </row>
    <row r="2118" spans="1:16" ht="11.25" customHeight="1" x14ac:dyDescent="0.2">
      <c r="A2118" s="148"/>
      <c r="B2118" s="149"/>
      <c r="C2118" s="150"/>
      <c r="D2118" s="150"/>
      <c r="E2118" s="150"/>
      <c r="F2118" s="150"/>
      <c r="G2118" s="150"/>
      <c r="H2118" s="148"/>
      <c r="I2118" s="151"/>
      <c r="J2118" s="152"/>
      <c r="K2118" s="152"/>
      <c r="L2118" s="167"/>
      <c r="M2118" s="168"/>
      <c r="N2118" s="167"/>
      <c r="O2118" s="151"/>
      <c r="P2118" s="156"/>
    </row>
    <row r="2119" spans="1:16" ht="11.25" customHeight="1" x14ac:dyDescent="0.2">
      <c r="A2119" s="148"/>
      <c r="B2119" s="149"/>
      <c r="C2119" s="155"/>
      <c r="D2119" s="155"/>
      <c r="E2119" s="155"/>
      <c r="F2119" s="155"/>
      <c r="G2119" s="155"/>
      <c r="H2119" s="148"/>
      <c r="I2119" s="151"/>
      <c r="J2119" s="151"/>
      <c r="K2119" s="151"/>
      <c r="L2119" s="153"/>
      <c r="M2119" s="151"/>
      <c r="N2119" s="153"/>
      <c r="O2119" s="151"/>
      <c r="P2119" s="156"/>
    </row>
    <row r="2120" spans="1:16" ht="11.25" customHeight="1" x14ac:dyDescent="0.2">
      <c r="A2120" s="148"/>
      <c r="B2120" s="149"/>
      <c r="C2120" s="150"/>
      <c r="D2120" s="150"/>
      <c r="E2120" s="150"/>
      <c r="F2120" s="150"/>
      <c r="G2120" s="150"/>
      <c r="H2120" s="148"/>
      <c r="I2120" s="151"/>
      <c r="J2120" s="152"/>
      <c r="K2120" s="166"/>
      <c r="L2120" s="153"/>
      <c r="M2120" s="151"/>
      <c r="N2120" s="153"/>
      <c r="O2120" s="151"/>
      <c r="P2120" s="156"/>
    </row>
    <row r="2121" spans="1:16" ht="11.25" customHeight="1" x14ac:dyDescent="0.2">
      <c r="A2121" s="84"/>
      <c r="B2121" s="154"/>
      <c r="C2121" s="155"/>
      <c r="D2121" s="155"/>
      <c r="E2121" s="155"/>
      <c r="F2121" s="155"/>
      <c r="G2121" s="155"/>
      <c r="H2121" s="148"/>
      <c r="I2121" s="151"/>
      <c r="J2121" s="151"/>
      <c r="K2121" s="151"/>
      <c r="L2121" s="153"/>
      <c r="M2121" s="151"/>
      <c r="N2121" s="156"/>
      <c r="O2121" s="151"/>
      <c r="P2121" s="156"/>
    </row>
    <row r="2122" spans="1:16" ht="11.25" customHeight="1" x14ac:dyDescent="0.2">
      <c r="A2122" s="158"/>
      <c r="B2122" s="158"/>
      <c r="C2122" s="85"/>
      <c r="D2122" s="85"/>
      <c r="E2122" s="85"/>
      <c r="F2122" s="85"/>
      <c r="G2122" s="85"/>
      <c r="H2122" s="159"/>
      <c r="I2122" s="160"/>
      <c r="J2122" s="160"/>
      <c r="K2122" s="160"/>
      <c r="L2122" s="161"/>
      <c r="M2122" s="160"/>
      <c r="N2122" s="161"/>
      <c r="O2122" s="160"/>
      <c r="P2122" s="162"/>
    </row>
    <row r="2123" spans="1:16" ht="11.25" customHeight="1" x14ac:dyDescent="0.2">
      <c r="A2123" s="158"/>
      <c r="B2123" s="158"/>
      <c r="C2123" s="85"/>
      <c r="D2123" s="85"/>
      <c r="E2123" s="85"/>
      <c r="F2123" s="85"/>
      <c r="G2123" s="85"/>
      <c r="H2123" s="159"/>
      <c r="I2123" s="164"/>
      <c r="J2123" s="160"/>
      <c r="K2123" s="164"/>
      <c r="L2123" s="161"/>
      <c r="M2123" s="160"/>
      <c r="N2123" s="161"/>
      <c r="O2123" s="160"/>
      <c r="P2123" s="162"/>
    </row>
    <row r="2124" spans="1:16" ht="11.25" customHeight="1" x14ac:dyDescent="0.2">
      <c r="A2124" s="158"/>
      <c r="B2124" s="158"/>
      <c r="C2124" s="85"/>
      <c r="D2124" s="85"/>
      <c r="E2124" s="85"/>
      <c r="F2124" s="85"/>
      <c r="G2124" s="85"/>
      <c r="H2124" s="159"/>
      <c r="I2124" s="164"/>
      <c r="J2124" s="160"/>
      <c r="K2124" s="164"/>
      <c r="L2124" s="161"/>
      <c r="M2124" s="160"/>
      <c r="N2124" s="161"/>
      <c r="O2124" s="160"/>
      <c r="P2124" s="162"/>
    </row>
    <row r="2125" spans="1:16" ht="11.25" customHeight="1" x14ac:dyDescent="0.2">
      <c r="A2125" s="148"/>
      <c r="B2125" s="149"/>
      <c r="C2125" s="155"/>
      <c r="D2125" s="155"/>
      <c r="E2125" s="155"/>
      <c r="F2125" s="155"/>
      <c r="G2125" s="155"/>
      <c r="H2125" s="148"/>
      <c r="I2125" s="151"/>
      <c r="J2125" s="151"/>
      <c r="K2125" s="151"/>
      <c r="L2125" s="153"/>
      <c r="M2125" s="151"/>
      <c r="N2125" s="156"/>
      <c r="O2125" s="151"/>
      <c r="P2125" s="156"/>
    </row>
    <row r="2126" spans="1:16" ht="11.25" customHeight="1" x14ac:dyDescent="0.2">
      <c r="A2126" s="148"/>
      <c r="B2126" s="149"/>
      <c r="C2126" s="150"/>
      <c r="D2126" s="150"/>
      <c r="E2126" s="150"/>
      <c r="F2126" s="150"/>
      <c r="G2126" s="150"/>
      <c r="H2126" s="148"/>
      <c r="I2126" s="151"/>
      <c r="J2126" s="152"/>
      <c r="K2126" s="176"/>
      <c r="L2126" s="156"/>
      <c r="M2126" s="168"/>
      <c r="N2126" s="156"/>
      <c r="O2126" s="151"/>
      <c r="P2126" s="156"/>
    </row>
    <row r="2127" spans="1:16" ht="11.25" customHeight="1" x14ac:dyDescent="0.2">
      <c r="A2127" s="148"/>
      <c r="B2127" s="149"/>
      <c r="C2127" s="155"/>
      <c r="D2127" s="155"/>
      <c r="E2127" s="155"/>
      <c r="F2127" s="155"/>
      <c r="G2127" s="155"/>
      <c r="H2127" s="148"/>
      <c r="I2127" s="151"/>
      <c r="J2127" s="151"/>
      <c r="K2127" s="151"/>
      <c r="L2127" s="153"/>
      <c r="M2127" s="151"/>
      <c r="N2127" s="153"/>
      <c r="O2127" s="151"/>
      <c r="P2127" s="156"/>
    </row>
    <row r="2128" spans="1:16" ht="11.25" customHeight="1" x14ac:dyDescent="0.2">
      <c r="A2128" s="148"/>
      <c r="B2128" s="149"/>
      <c r="C2128" s="150"/>
      <c r="D2128" s="150"/>
      <c r="E2128" s="150"/>
      <c r="F2128" s="150"/>
      <c r="G2128" s="150"/>
      <c r="H2128" s="148"/>
      <c r="I2128" s="151"/>
      <c r="J2128" s="152"/>
      <c r="K2128" s="171"/>
      <c r="L2128" s="167"/>
      <c r="M2128" s="175"/>
      <c r="N2128" s="167"/>
      <c r="O2128" s="151"/>
      <c r="P2128" s="156"/>
    </row>
    <row r="2129" spans="1:16" ht="11.25" customHeight="1" x14ac:dyDescent="0.2">
      <c r="A2129" s="148"/>
      <c r="B2129" s="149"/>
      <c r="C2129" s="155"/>
      <c r="D2129" s="155"/>
      <c r="E2129" s="155"/>
      <c r="F2129" s="155"/>
      <c r="G2129" s="155"/>
      <c r="H2129" s="148"/>
      <c r="I2129" s="151"/>
      <c r="J2129" s="151"/>
      <c r="K2129" s="151"/>
      <c r="L2129" s="153"/>
      <c r="M2129" s="151"/>
      <c r="N2129" s="153"/>
      <c r="O2129" s="151"/>
      <c r="P2129" s="156"/>
    </row>
    <row r="2130" spans="1:16" ht="11.25" customHeight="1" x14ac:dyDescent="0.2">
      <c r="A2130" s="148"/>
      <c r="B2130" s="149"/>
      <c r="C2130" s="150"/>
      <c r="D2130" s="150"/>
      <c r="E2130" s="150"/>
      <c r="F2130" s="150"/>
      <c r="G2130" s="150"/>
      <c r="H2130" s="148"/>
      <c r="I2130" s="151"/>
      <c r="J2130" s="152"/>
      <c r="K2130" s="166"/>
      <c r="L2130" s="177"/>
      <c r="M2130" s="151"/>
      <c r="N2130" s="153"/>
      <c r="O2130" s="151"/>
      <c r="P2130" s="156"/>
    </row>
    <row r="2131" spans="1:16" ht="11.25" customHeight="1" x14ac:dyDescent="0.2">
      <c r="A2131" s="84"/>
      <c r="B2131" s="154"/>
      <c r="C2131" s="155"/>
      <c r="D2131" s="155"/>
      <c r="E2131" s="155"/>
      <c r="F2131" s="155"/>
      <c r="G2131" s="155"/>
      <c r="H2131" s="148"/>
      <c r="I2131" s="151"/>
      <c r="J2131" s="151"/>
      <c r="K2131" s="151"/>
      <c r="L2131" s="153"/>
      <c r="M2131" s="151"/>
      <c r="N2131" s="156"/>
      <c r="O2131" s="151"/>
      <c r="P2131" s="156"/>
    </row>
    <row r="2132" spans="1:16" ht="11.25" customHeight="1" x14ac:dyDescent="0.2">
      <c r="A2132" s="158"/>
      <c r="B2132" s="158"/>
      <c r="C2132" s="85"/>
      <c r="D2132" s="85"/>
      <c r="E2132" s="85"/>
      <c r="F2132" s="85"/>
      <c r="G2132" s="85"/>
      <c r="H2132" s="159"/>
      <c r="I2132" s="160"/>
      <c r="J2132" s="160"/>
      <c r="K2132" s="160"/>
      <c r="L2132" s="161"/>
      <c r="M2132" s="160"/>
      <c r="N2132" s="161"/>
      <c r="O2132" s="160"/>
      <c r="P2132" s="162"/>
    </row>
    <row r="2133" spans="1:16" ht="11.25" customHeight="1" x14ac:dyDescent="0.2">
      <c r="A2133" s="158"/>
      <c r="B2133" s="158"/>
      <c r="C2133" s="85"/>
      <c r="D2133" s="85"/>
      <c r="E2133" s="85"/>
      <c r="F2133" s="85"/>
      <c r="G2133" s="85"/>
      <c r="H2133" s="159"/>
      <c r="I2133" s="164"/>
      <c r="J2133" s="160"/>
      <c r="K2133" s="164"/>
      <c r="L2133" s="161"/>
      <c r="M2133" s="160"/>
      <c r="N2133" s="161"/>
      <c r="O2133" s="160"/>
      <c r="P2133" s="162"/>
    </row>
    <row r="2134" spans="1:16" ht="11.25" customHeight="1" x14ac:dyDescent="0.2">
      <c r="A2134" s="158"/>
      <c r="B2134" s="158"/>
      <c r="C2134" s="85"/>
      <c r="D2134" s="85"/>
      <c r="E2134" s="85"/>
      <c r="F2134" s="85"/>
      <c r="G2134" s="85"/>
      <c r="H2134" s="159"/>
      <c r="I2134" s="164"/>
      <c r="J2134" s="160"/>
      <c r="K2134" s="164"/>
      <c r="L2134" s="161"/>
      <c r="M2134" s="160"/>
      <c r="N2134" s="161"/>
      <c r="O2134" s="160"/>
      <c r="P2134" s="162"/>
    </row>
    <row r="2135" spans="1:16" ht="11.25" customHeight="1" x14ac:dyDescent="0.2">
      <c r="A2135" s="148"/>
      <c r="B2135" s="149"/>
      <c r="C2135" s="155"/>
      <c r="D2135" s="155"/>
      <c r="E2135" s="155"/>
      <c r="F2135" s="155"/>
      <c r="G2135" s="155"/>
      <c r="H2135" s="148"/>
      <c r="I2135" s="151"/>
      <c r="J2135" s="151"/>
      <c r="K2135" s="151"/>
      <c r="L2135" s="153"/>
      <c r="M2135" s="151"/>
      <c r="N2135" s="156"/>
      <c r="O2135" s="151"/>
      <c r="P2135" s="156"/>
    </row>
    <row r="2136" spans="1:16" ht="11.25" customHeight="1" x14ac:dyDescent="0.2">
      <c r="A2136" s="148"/>
      <c r="B2136" s="149"/>
      <c r="C2136" s="150"/>
      <c r="D2136" s="150"/>
      <c r="E2136" s="150"/>
      <c r="F2136" s="150"/>
      <c r="G2136" s="150"/>
      <c r="H2136" s="148"/>
      <c r="I2136" s="151"/>
      <c r="J2136" s="152"/>
      <c r="K2136" s="175"/>
      <c r="L2136" s="167"/>
      <c r="M2136" s="168"/>
      <c r="N2136" s="167"/>
      <c r="O2136" s="151"/>
      <c r="P2136" s="156"/>
    </row>
    <row r="2137" spans="1:16" ht="11.25" customHeight="1" x14ac:dyDescent="0.2">
      <c r="A2137" s="148"/>
      <c r="B2137" s="149"/>
      <c r="C2137" s="155"/>
      <c r="D2137" s="155"/>
      <c r="E2137" s="155"/>
      <c r="F2137" s="155"/>
      <c r="G2137" s="155"/>
      <c r="H2137" s="148"/>
      <c r="I2137" s="151"/>
      <c r="J2137" s="151"/>
      <c r="K2137" s="151"/>
      <c r="L2137" s="153"/>
      <c r="M2137" s="151"/>
      <c r="N2137" s="153"/>
      <c r="O2137" s="151"/>
      <c r="P2137" s="156"/>
    </row>
    <row r="2138" spans="1:16" ht="11.25" customHeight="1" x14ac:dyDescent="0.2">
      <c r="A2138" s="144"/>
      <c r="B2138" s="144"/>
      <c r="C2138" s="144"/>
      <c r="D2138" s="144"/>
      <c r="E2138" s="144"/>
      <c r="F2138" s="144"/>
      <c r="G2138" s="144"/>
      <c r="H2138" s="144"/>
      <c r="I2138" s="144"/>
      <c r="J2138" s="144"/>
      <c r="K2138" s="144"/>
      <c r="L2138" s="144"/>
      <c r="M2138" s="144"/>
      <c r="N2138" s="144"/>
      <c r="O2138" s="144"/>
      <c r="P2138" s="144"/>
    </row>
    <row r="2139" spans="1:16" ht="11.25" customHeight="1" x14ac:dyDescent="0.2">
      <c r="A2139" s="148"/>
      <c r="B2139" s="149"/>
      <c r="C2139" s="150"/>
      <c r="D2139" s="150"/>
      <c r="E2139" s="150"/>
      <c r="F2139" s="150"/>
      <c r="G2139" s="150"/>
      <c r="H2139" s="148"/>
      <c r="I2139" s="151"/>
      <c r="J2139" s="152"/>
      <c r="K2139" s="178"/>
      <c r="L2139" s="153"/>
      <c r="M2139" s="151"/>
      <c r="N2139" s="153"/>
      <c r="O2139" s="151"/>
      <c r="P2139" s="153"/>
    </row>
    <row r="2140" spans="1:16" ht="11.25" customHeight="1" x14ac:dyDescent="0.2">
      <c r="A2140" s="84"/>
      <c r="B2140" s="154"/>
      <c r="C2140" s="155"/>
      <c r="D2140" s="155"/>
      <c r="E2140" s="155"/>
      <c r="F2140" s="155"/>
      <c r="G2140" s="155"/>
      <c r="H2140" s="148"/>
      <c r="I2140" s="151"/>
      <c r="J2140" s="151"/>
      <c r="K2140" s="151"/>
      <c r="L2140" s="153"/>
      <c r="M2140" s="151"/>
      <c r="N2140" s="156"/>
      <c r="O2140" s="151"/>
      <c r="P2140" s="156"/>
    </row>
    <row r="2141" spans="1:16" ht="11.25" customHeight="1" x14ac:dyDescent="0.2">
      <c r="A2141" s="158"/>
      <c r="B2141" s="158"/>
      <c r="C2141" s="85"/>
      <c r="D2141" s="85"/>
      <c r="E2141" s="85"/>
      <c r="F2141" s="85"/>
      <c r="G2141" s="85"/>
      <c r="H2141" s="159"/>
      <c r="I2141" s="160"/>
      <c r="J2141" s="160"/>
      <c r="K2141" s="160"/>
      <c r="L2141" s="161"/>
      <c r="M2141" s="160"/>
      <c r="N2141" s="161"/>
      <c r="O2141" s="160"/>
      <c r="P2141" s="162"/>
    </row>
    <row r="2142" spans="1:16" ht="11.25" customHeight="1" x14ac:dyDescent="0.2">
      <c r="A2142" s="158"/>
      <c r="B2142" s="158"/>
      <c r="C2142" s="85"/>
      <c r="D2142" s="85"/>
      <c r="E2142" s="85"/>
      <c r="F2142" s="85"/>
      <c r="G2142" s="85"/>
      <c r="H2142" s="159"/>
      <c r="I2142" s="164"/>
      <c r="J2142" s="160"/>
      <c r="K2142" s="164"/>
      <c r="L2142" s="161"/>
      <c r="M2142" s="160"/>
      <c r="N2142" s="161"/>
      <c r="O2142" s="160"/>
      <c r="P2142" s="162"/>
    </row>
    <row r="2143" spans="1:16" ht="11.25" customHeight="1" x14ac:dyDescent="0.2">
      <c r="A2143" s="158"/>
      <c r="B2143" s="158"/>
      <c r="C2143" s="85"/>
      <c r="D2143" s="85"/>
      <c r="E2143" s="85"/>
      <c r="F2143" s="85"/>
      <c r="G2143" s="85"/>
      <c r="H2143" s="159"/>
      <c r="I2143" s="164"/>
      <c r="J2143" s="160"/>
      <c r="K2143" s="164"/>
      <c r="L2143" s="161"/>
      <c r="M2143" s="160"/>
      <c r="N2143" s="161"/>
      <c r="O2143" s="160"/>
      <c r="P2143" s="162"/>
    </row>
    <row r="2144" spans="1:16" ht="11.25" customHeight="1" x14ac:dyDescent="0.2">
      <c r="A2144" s="148"/>
      <c r="B2144" s="149"/>
      <c r="C2144" s="155"/>
      <c r="D2144" s="155"/>
      <c r="E2144" s="155"/>
      <c r="F2144" s="155"/>
      <c r="G2144" s="155"/>
      <c r="H2144" s="148"/>
      <c r="I2144" s="151"/>
      <c r="J2144" s="151"/>
      <c r="K2144" s="151"/>
      <c r="L2144" s="153"/>
      <c r="M2144" s="151"/>
      <c r="N2144" s="156"/>
      <c r="O2144" s="151"/>
      <c r="P2144" s="156"/>
    </row>
    <row r="2145" spans="1:16" ht="11.25" customHeight="1" x14ac:dyDescent="0.2">
      <c r="A2145" s="148"/>
      <c r="B2145" s="149"/>
      <c r="C2145" s="150"/>
      <c r="D2145" s="150"/>
      <c r="E2145" s="150"/>
      <c r="F2145" s="150"/>
      <c r="G2145" s="150"/>
      <c r="H2145" s="148"/>
      <c r="I2145" s="151"/>
      <c r="J2145" s="152"/>
      <c r="K2145" s="178"/>
      <c r="L2145" s="153"/>
      <c r="M2145" s="151"/>
      <c r="N2145" s="153"/>
      <c r="O2145" s="151"/>
      <c r="P2145" s="156"/>
    </row>
    <row r="2146" spans="1:16" ht="11.25" customHeight="1" x14ac:dyDescent="0.2">
      <c r="A2146" s="84"/>
      <c r="B2146" s="154"/>
      <c r="C2146" s="155"/>
      <c r="D2146" s="155"/>
      <c r="E2146" s="155"/>
      <c r="F2146" s="155"/>
      <c r="G2146" s="155"/>
      <c r="H2146" s="148"/>
      <c r="I2146" s="151"/>
      <c r="J2146" s="151"/>
      <c r="K2146" s="151"/>
      <c r="L2146" s="153"/>
      <c r="M2146" s="151"/>
      <c r="N2146" s="156"/>
      <c r="O2146" s="151"/>
      <c r="P2146" s="156"/>
    </row>
    <row r="2147" spans="1:16" ht="11.25" customHeight="1" x14ac:dyDescent="0.2">
      <c r="A2147" s="158"/>
      <c r="B2147" s="158"/>
      <c r="C2147" s="85"/>
      <c r="D2147" s="85"/>
      <c r="E2147" s="85"/>
      <c r="F2147" s="85"/>
      <c r="G2147" s="85"/>
      <c r="H2147" s="159"/>
      <c r="I2147" s="160"/>
      <c r="J2147" s="160"/>
      <c r="K2147" s="160"/>
      <c r="L2147" s="161"/>
      <c r="M2147" s="160"/>
      <c r="N2147" s="161"/>
      <c r="O2147" s="160"/>
      <c r="P2147" s="162"/>
    </row>
    <row r="2148" spans="1:16" ht="11.25" customHeight="1" x14ac:dyDescent="0.2">
      <c r="A2148" s="158"/>
      <c r="B2148" s="158"/>
      <c r="C2148" s="85"/>
      <c r="D2148" s="85"/>
      <c r="E2148" s="85"/>
      <c r="F2148" s="85"/>
      <c r="G2148" s="85"/>
      <c r="H2148" s="159"/>
      <c r="I2148" s="164"/>
      <c r="J2148" s="160"/>
      <c r="K2148" s="164"/>
      <c r="L2148" s="161"/>
      <c r="M2148" s="160"/>
      <c r="N2148" s="161"/>
      <c r="O2148" s="160"/>
      <c r="P2148" s="162"/>
    </row>
    <row r="2149" spans="1:16" ht="11.25" customHeight="1" x14ac:dyDescent="0.2">
      <c r="A2149" s="158"/>
      <c r="B2149" s="158"/>
      <c r="C2149" s="85"/>
      <c r="D2149" s="85"/>
      <c r="E2149" s="85"/>
      <c r="F2149" s="85"/>
      <c r="G2149" s="85"/>
      <c r="H2149" s="159"/>
      <c r="I2149" s="164"/>
      <c r="J2149" s="160"/>
      <c r="K2149" s="164"/>
      <c r="L2149" s="161"/>
      <c r="M2149" s="160"/>
      <c r="N2149" s="161"/>
      <c r="O2149" s="160"/>
      <c r="P2149" s="162"/>
    </row>
    <row r="2150" spans="1:16" ht="11.25" customHeight="1" x14ac:dyDescent="0.2">
      <c r="A2150" s="148"/>
      <c r="B2150" s="149"/>
      <c r="C2150" s="155"/>
      <c r="D2150" s="155"/>
      <c r="E2150" s="155"/>
      <c r="F2150" s="155"/>
      <c r="G2150" s="155"/>
      <c r="H2150" s="148"/>
      <c r="I2150" s="151"/>
      <c r="J2150" s="151"/>
      <c r="K2150" s="151"/>
      <c r="L2150" s="153"/>
      <c r="M2150" s="151"/>
      <c r="N2150" s="156"/>
      <c r="O2150" s="151"/>
      <c r="P2150" s="156"/>
    </row>
    <row r="2151" spans="1:16" ht="11.25" customHeight="1" x14ac:dyDescent="0.2">
      <c r="A2151" s="148"/>
      <c r="B2151" s="149"/>
      <c r="C2151" s="150"/>
      <c r="D2151" s="150"/>
      <c r="E2151" s="150"/>
      <c r="F2151" s="150"/>
      <c r="G2151" s="150"/>
      <c r="H2151" s="148"/>
      <c r="I2151" s="151"/>
      <c r="J2151" s="152"/>
      <c r="K2151" s="171"/>
      <c r="L2151" s="156"/>
      <c r="M2151" s="168"/>
      <c r="N2151" s="156"/>
      <c r="O2151" s="151"/>
      <c r="P2151" s="156"/>
    </row>
    <row r="2152" spans="1:16" ht="11.25" customHeight="1" x14ac:dyDescent="0.2">
      <c r="A2152" s="148"/>
      <c r="B2152" s="149"/>
      <c r="C2152" s="155"/>
      <c r="D2152" s="155"/>
      <c r="E2152" s="155"/>
      <c r="F2152" s="155"/>
      <c r="G2152" s="155"/>
      <c r="H2152" s="148"/>
      <c r="I2152" s="151"/>
      <c r="J2152" s="151"/>
      <c r="K2152" s="151"/>
      <c r="L2152" s="153"/>
      <c r="M2152" s="151"/>
      <c r="N2152" s="153"/>
      <c r="O2152" s="151"/>
      <c r="P2152" s="156"/>
    </row>
    <row r="2153" spans="1:16" ht="11.25" customHeight="1" x14ac:dyDescent="0.2">
      <c r="A2153" s="144"/>
      <c r="B2153" s="144"/>
      <c r="C2153" s="144"/>
      <c r="D2153" s="144"/>
      <c r="E2153" s="144"/>
      <c r="F2153" s="144"/>
      <c r="G2153" s="144"/>
      <c r="H2153" s="144"/>
      <c r="I2153" s="144"/>
      <c r="J2153" s="144"/>
      <c r="K2153" s="144"/>
      <c r="L2153" s="144"/>
      <c r="M2153" s="144"/>
      <c r="N2153" s="144"/>
      <c r="O2153" s="144"/>
      <c r="P2153" s="144"/>
    </row>
    <row r="2154" spans="1:16" ht="11.25" customHeight="1" x14ac:dyDescent="0.2">
      <c r="A2154" s="148"/>
      <c r="B2154" s="149"/>
      <c r="C2154" s="150"/>
      <c r="D2154" s="150"/>
      <c r="E2154" s="150"/>
      <c r="F2154" s="150"/>
      <c r="G2154" s="150"/>
      <c r="H2154" s="148"/>
      <c r="I2154" s="151"/>
      <c r="J2154" s="152"/>
      <c r="K2154" s="166"/>
      <c r="L2154" s="153"/>
      <c r="M2154" s="151"/>
      <c r="N2154" s="153"/>
      <c r="O2154" s="151"/>
      <c r="P2154" s="153"/>
    </row>
    <row r="2155" spans="1:16" ht="11.25" customHeight="1" x14ac:dyDescent="0.2">
      <c r="A2155" s="84"/>
      <c r="B2155" s="154"/>
      <c r="C2155" s="155"/>
      <c r="D2155" s="155"/>
      <c r="E2155" s="155"/>
      <c r="F2155" s="155"/>
      <c r="G2155" s="155"/>
      <c r="H2155" s="148"/>
      <c r="I2155" s="151"/>
      <c r="J2155" s="151"/>
      <c r="K2155" s="151"/>
      <c r="L2155" s="153"/>
      <c r="M2155" s="151"/>
      <c r="N2155" s="156"/>
      <c r="O2155" s="151"/>
      <c r="P2155" s="156"/>
    </row>
    <row r="2156" spans="1:16" ht="11.25" customHeight="1" x14ac:dyDescent="0.2">
      <c r="A2156" s="158"/>
      <c r="B2156" s="158"/>
      <c r="C2156" s="85"/>
      <c r="D2156" s="85"/>
      <c r="E2156" s="85"/>
      <c r="F2156" s="85"/>
      <c r="G2156" s="85"/>
      <c r="H2156" s="159"/>
      <c r="I2156" s="160"/>
      <c r="J2156" s="160"/>
      <c r="K2156" s="160"/>
      <c r="L2156" s="161"/>
      <c r="M2156" s="160"/>
      <c r="N2156" s="161"/>
      <c r="O2156" s="160"/>
      <c r="P2156" s="162"/>
    </row>
    <row r="2157" spans="1:16" ht="11.25" customHeight="1" x14ac:dyDescent="0.2">
      <c r="A2157" s="158"/>
      <c r="B2157" s="158"/>
      <c r="C2157" s="85"/>
      <c r="D2157" s="85"/>
      <c r="E2157" s="85"/>
      <c r="F2157" s="85"/>
      <c r="G2157" s="85"/>
      <c r="H2157" s="159"/>
      <c r="I2157" s="164"/>
      <c r="J2157" s="160"/>
      <c r="K2157" s="164"/>
      <c r="L2157" s="161"/>
      <c r="M2157" s="160"/>
      <c r="N2157" s="161"/>
      <c r="O2157" s="160"/>
      <c r="P2157" s="162"/>
    </row>
    <row r="2158" spans="1:16" ht="11.25" customHeight="1" x14ac:dyDescent="0.2">
      <c r="A2158" s="158"/>
      <c r="B2158" s="158"/>
      <c r="C2158" s="85"/>
      <c r="D2158" s="85"/>
      <c r="E2158" s="85"/>
      <c r="F2158" s="85"/>
      <c r="G2158" s="85"/>
      <c r="H2158" s="159"/>
      <c r="I2158" s="164"/>
      <c r="J2158" s="160"/>
      <c r="K2158" s="164"/>
      <c r="L2158" s="161"/>
      <c r="M2158" s="160"/>
      <c r="N2158" s="161"/>
      <c r="O2158" s="160"/>
      <c r="P2158" s="162"/>
    </row>
    <row r="2159" spans="1:16" ht="11.25" customHeight="1" x14ac:dyDescent="0.2">
      <c r="A2159" s="148"/>
      <c r="B2159" s="149"/>
      <c r="C2159" s="155"/>
      <c r="D2159" s="155"/>
      <c r="E2159" s="155"/>
      <c r="F2159" s="155"/>
      <c r="G2159" s="155"/>
      <c r="H2159" s="148"/>
      <c r="I2159" s="151"/>
      <c r="J2159" s="151"/>
      <c r="K2159" s="151"/>
      <c r="L2159" s="153"/>
      <c r="M2159" s="151"/>
      <c r="N2159" s="156"/>
      <c r="O2159" s="151"/>
      <c r="P2159" s="156"/>
    </row>
    <row r="2160" spans="1:16" ht="11.25" customHeight="1" x14ac:dyDescent="0.2">
      <c r="A2160" s="148"/>
      <c r="B2160" s="149"/>
      <c r="C2160" s="150"/>
      <c r="D2160" s="150"/>
      <c r="E2160" s="150"/>
      <c r="F2160" s="150"/>
      <c r="G2160" s="150"/>
      <c r="H2160" s="148"/>
      <c r="I2160" s="151"/>
      <c r="J2160" s="152"/>
      <c r="K2160" s="168"/>
      <c r="L2160" s="153"/>
      <c r="M2160" s="151"/>
      <c r="N2160" s="153"/>
      <c r="O2160" s="151"/>
      <c r="P2160" s="156"/>
    </row>
    <row r="2161" spans="1:16" ht="11.25" customHeight="1" x14ac:dyDescent="0.2">
      <c r="A2161" s="84"/>
      <c r="B2161" s="154"/>
      <c r="C2161" s="155"/>
      <c r="D2161" s="155"/>
      <c r="E2161" s="155"/>
      <c r="F2161" s="155"/>
      <c r="G2161" s="155"/>
      <c r="H2161" s="148"/>
      <c r="I2161" s="151"/>
      <c r="J2161" s="151"/>
      <c r="K2161" s="151"/>
      <c r="L2161" s="153"/>
      <c r="M2161" s="151"/>
      <c r="N2161" s="156"/>
      <c r="O2161" s="151"/>
      <c r="P2161" s="156"/>
    </row>
    <row r="2162" spans="1:16" ht="11.25" customHeight="1" x14ac:dyDescent="0.2">
      <c r="A2162" s="158"/>
      <c r="B2162" s="158"/>
      <c r="C2162" s="85"/>
      <c r="D2162" s="85"/>
      <c r="E2162" s="85"/>
      <c r="F2162" s="85"/>
      <c r="G2162" s="85"/>
      <c r="H2162" s="159"/>
      <c r="I2162" s="160"/>
      <c r="J2162" s="160"/>
      <c r="K2162" s="160"/>
      <c r="L2162" s="161"/>
      <c r="M2162" s="160"/>
      <c r="N2162" s="161"/>
      <c r="O2162" s="160"/>
      <c r="P2162" s="162"/>
    </row>
    <row r="2163" spans="1:16" ht="11.25" customHeight="1" x14ac:dyDescent="0.2">
      <c r="A2163" s="158"/>
      <c r="B2163" s="158"/>
      <c r="C2163" s="85"/>
      <c r="D2163" s="85"/>
      <c r="E2163" s="85"/>
      <c r="F2163" s="85"/>
      <c r="G2163" s="85"/>
      <c r="H2163" s="159"/>
      <c r="I2163" s="164"/>
      <c r="J2163" s="160"/>
      <c r="K2163" s="164"/>
      <c r="L2163" s="161"/>
      <c r="M2163" s="160"/>
      <c r="N2163" s="161"/>
      <c r="O2163" s="160"/>
      <c r="P2163" s="162"/>
    </row>
    <row r="2164" spans="1:16" ht="11.25" customHeight="1" x14ac:dyDescent="0.2">
      <c r="A2164" s="158"/>
      <c r="B2164" s="158"/>
      <c r="C2164" s="85"/>
      <c r="D2164" s="85"/>
      <c r="E2164" s="85"/>
      <c r="F2164" s="85"/>
      <c r="G2164" s="85"/>
      <c r="H2164" s="159"/>
      <c r="I2164" s="164"/>
      <c r="J2164" s="160"/>
      <c r="K2164" s="164"/>
      <c r="L2164" s="161"/>
      <c r="M2164" s="160"/>
      <c r="N2164" s="161"/>
      <c r="O2164" s="160"/>
      <c r="P2164" s="162"/>
    </row>
    <row r="2165" spans="1:16" ht="11.25" customHeight="1" x14ac:dyDescent="0.2">
      <c r="A2165" s="148"/>
      <c r="B2165" s="149"/>
      <c r="C2165" s="155"/>
      <c r="D2165" s="155"/>
      <c r="E2165" s="155"/>
      <c r="F2165" s="155"/>
      <c r="G2165" s="155"/>
      <c r="H2165" s="148"/>
      <c r="I2165" s="151"/>
      <c r="J2165" s="151"/>
      <c r="K2165" s="151"/>
      <c r="L2165" s="153"/>
      <c r="M2165" s="151"/>
      <c r="N2165" s="156"/>
      <c r="O2165" s="151"/>
      <c r="P2165" s="156"/>
    </row>
    <row r="2166" spans="1:16" ht="11.25" customHeight="1" x14ac:dyDescent="0.2">
      <c r="A2166" s="148"/>
      <c r="B2166" s="149"/>
      <c r="C2166" s="150"/>
      <c r="D2166" s="150"/>
      <c r="E2166" s="150"/>
      <c r="F2166" s="150"/>
      <c r="G2166" s="150"/>
      <c r="H2166" s="148"/>
      <c r="I2166" s="151"/>
      <c r="J2166" s="152"/>
      <c r="K2166" s="171"/>
      <c r="L2166" s="153"/>
      <c r="M2166" s="151"/>
      <c r="N2166" s="153"/>
      <c r="O2166" s="151"/>
      <c r="P2166" s="156"/>
    </row>
    <row r="2167" spans="1:16" ht="11.25" customHeight="1" x14ac:dyDescent="0.2">
      <c r="A2167" s="84"/>
      <c r="B2167" s="154"/>
      <c r="C2167" s="155"/>
      <c r="D2167" s="155"/>
      <c r="E2167" s="155"/>
      <c r="F2167" s="155"/>
      <c r="G2167" s="155"/>
      <c r="H2167" s="148"/>
      <c r="I2167" s="151"/>
      <c r="J2167" s="151"/>
      <c r="K2167" s="151"/>
      <c r="L2167" s="153"/>
      <c r="M2167" s="151"/>
      <c r="N2167" s="156"/>
      <c r="O2167" s="151"/>
      <c r="P2167" s="156"/>
    </row>
    <row r="2168" spans="1:16" ht="11.25" customHeight="1" x14ac:dyDescent="0.2">
      <c r="A2168" s="158"/>
      <c r="B2168" s="158"/>
      <c r="C2168" s="85"/>
      <c r="D2168" s="85"/>
      <c r="E2168" s="85"/>
      <c r="F2168" s="85"/>
      <c r="G2168" s="85"/>
      <c r="H2168" s="159"/>
      <c r="I2168" s="160"/>
      <c r="J2168" s="160"/>
      <c r="K2168" s="160"/>
      <c r="L2168" s="161"/>
      <c r="M2168" s="160"/>
      <c r="N2168" s="161"/>
      <c r="O2168" s="160"/>
      <c r="P2168" s="162"/>
    </row>
    <row r="2169" spans="1:16" ht="11.25" customHeight="1" x14ac:dyDescent="0.2">
      <c r="A2169" s="158"/>
      <c r="B2169" s="158"/>
      <c r="C2169" s="85"/>
      <c r="D2169" s="85"/>
      <c r="E2169" s="85"/>
      <c r="F2169" s="85"/>
      <c r="G2169" s="85"/>
      <c r="H2169" s="159"/>
      <c r="I2169" s="164"/>
      <c r="J2169" s="160"/>
      <c r="K2169" s="164"/>
      <c r="L2169" s="161"/>
      <c r="M2169" s="160"/>
      <c r="N2169" s="161"/>
      <c r="O2169" s="160"/>
      <c r="P2169" s="162"/>
    </row>
    <row r="2170" spans="1:16" ht="11.25" customHeight="1" x14ac:dyDescent="0.2">
      <c r="A2170" s="158"/>
      <c r="B2170" s="158"/>
      <c r="C2170" s="85"/>
      <c r="D2170" s="85"/>
      <c r="E2170" s="85"/>
      <c r="F2170" s="85"/>
      <c r="G2170" s="85"/>
      <c r="H2170" s="159"/>
      <c r="I2170" s="164"/>
      <c r="J2170" s="160"/>
      <c r="K2170" s="164"/>
      <c r="L2170" s="161"/>
      <c r="M2170" s="160"/>
      <c r="N2170" s="161"/>
      <c r="O2170" s="160"/>
      <c r="P2170" s="162"/>
    </row>
    <row r="2171" spans="1:16" ht="11.25" customHeight="1" x14ac:dyDescent="0.2">
      <c r="A2171" s="148"/>
      <c r="B2171" s="149"/>
      <c r="C2171" s="155"/>
      <c r="D2171" s="155"/>
      <c r="E2171" s="155"/>
      <c r="F2171" s="155"/>
      <c r="G2171" s="155"/>
      <c r="H2171" s="148"/>
      <c r="I2171" s="151"/>
      <c r="J2171" s="151"/>
      <c r="K2171" s="151"/>
      <c r="L2171" s="153"/>
      <c r="M2171" s="151"/>
      <c r="N2171" s="156"/>
      <c r="O2171" s="151"/>
      <c r="P2171" s="156"/>
    </row>
    <row r="2172" spans="1:16" ht="11.25" customHeight="1" x14ac:dyDescent="0.2">
      <c r="A2172" s="148"/>
      <c r="B2172" s="149"/>
      <c r="C2172" s="150"/>
      <c r="D2172" s="150"/>
      <c r="E2172" s="150"/>
      <c r="F2172" s="150"/>
      <c r="G2172" s="150"/>
      <c r="H2172" s="148"/>
      <c r="I2172" s="151"/>
      <c r="J2172" s="152"/>
      <c r="K2172" s="166"/>
      <c r="L2172" s="156"/>
      <c r="M2172" s="168"/>
      <c r="N2172" s="156"/>
      <c r="O2172" s="151"/>
      <c r="P2172" s="156"/>
    </row>
    <row r="2173" spans="1:16" ht="11.25" customHeight="1" x14ac:dyDescent="0.2">
      <c r="A2173" s="148"/>
      <c r="B2173" s="149"/>
      <c r="C2173" s="155"/>
      <c r="D2173" s="155"/>
      <c r="E2173" s="155"/>
      <c r="F2173" s="155"/>
      <c r="G2173" s="155"/>
      <c r="H2173" s="148"/>
      <c r="I2173" s="151"/>
      <c r="J2173" s="151"/>
      <c r="K2173" s="151"/>
      <c r="L2173" s="153"/>
      <c r="M2173" s="151"/>
      <c r="N2173" s="153"/>
      <c r="O2173" s="151"/>
      <c r="P2173" s="156"/>
    </row>
    <row r="2174" spans="1:16" ht="11.25" customHeight="1" x14ac:dyDescent="0.2">
      <c r="A2174" s="148"/>
      <c r="B2174" s="149"/>
      <c r="C2174" s="150"/>
      <c r="D2174" s="150"/>
      <c r="E2174" s="150"/>
      <c r="F2174" s="150"/>
      <c r="G2174" s="150"/>
      <c r="H2174" s="148"/>
      <c r="I2174" s="151"/>
      <c r="J2174" s="152"/>
      <c r="K2174" s="169"/>
      <c r="L2174" s="156"/>
      <c r="M2174" s="168"/>
      <c r="N2174" s="156"/>
      <c r="O2174" s="151"/>
      <c r="P2174" s="156"/>
    </row>
    <row r="2175" spans="1:16" ht="11.25" customHeight="1" x14ac:dyDescent="0.2">
      <c r="A2175" s="148"/>
      <c r="B2175" s="149"/>
      <c r="C2175" s="155"/>
      <c r="D2175" s="155"/>
      <c r="E2175" s="155"/>
      <c r="F2175" s="155"/>
      <c r="G2175" s="155"/>
      <c r="H2175" s="148"/>
      <c r="I2175" s="151"/>
      <c r="J2175" s="151"/>
      <c r="K2175" s="151"/>
      <c r="L2175" s="153"/>
      <c r="M2175" s="151"/>
      <c r="N2175" s="153"/>
      <c r="O2175" s="151"/>
      <c r="P2175" s="156"/>
    </row>
    <row r="2176" spans="1:16" ht="11.25" customHeight="1" x14ac:dyDescent="0.2">
      <c r="A2176" s="148"/>
      <c r="B2176" s="149"/>
      <c r="C2176" s="150"/>
      <c r="D2176" s="150"/>
      <c r="E2176" s="150"/>
      <c r="F2176" s="150"/>
      <c r="G2176" s="150"/>
      <c r="H2176" s="148"/>
      <c r="I2176" s="151"/>
      <c r="J2176" s="152"/>
      <c r="K2176" s="166"/>
      <c r="L2176" s="153"/>
      <c r="M2176" s="151"/>
      <c r="N2176" s="153"/>
      <c r="O2176" s="151"/>
      <c r="P2176" s="156"/>
    </row>
    <row r="2177" spans="1:16" ht="11.25" customHeight="1" x14ac:dyDescent="0.2">
      <c r="A2177" s="84"/>
      <c r="B2177" s="154"/>
      <c r="C2177" s="155"/>
      <c r="D2177" s="155"/>
      <c r="E2177" s="155"/>
      <c r="F2177" s="155"/>
      <c r="G2177" s="155"/>
      <c r="H2177" s="148"/>
      <c r="I2177" s="151"/>
      <c r="J2177" s="151"/>
      <c r="K2177" s="151"/>
      <c r="L2177" s="153"/>
      <c r="M2177" s="151"/>
      <c r="N2177" s="156"/>
      <c r="O2177" s="151"/>
      <c r="P2177" s="156"/>
    </row>
    <row r="2178" spans="1:16" ht="11.25" customHeight="1" x14ac:dyDescent="0.2">
      <c r="A2178" s="158"/>
      <c r="B2178" s="158"/>
      <c r="C2178" s="85"/>
      <c r="D2178" s="85"/>
      <c r="E2178" s="85"/>
      <c r="F2178" s="85"/>
      <c r="G2178" s="85"/>
      <c r="H2178" s="159"/>
      <c r="I2178" s="160"/>
      <c r="J2178" s="160"/>
      <c r="K2178" s="160"/>
      <c r="L2178" s="161"/>
      <c r="M2178" s="160"/>
      <c r="N2178" s="161"/>
      <c r="O2178" s="160"/>
      <c r="P2178" s="162"/>
    </row>
    <row r="2179" spans="1:16" ht="11.25" customHeight="1" x14ac:dyDescent="0.2">
      <c r="A2179" s="158"/>
      <c r="B2179" s="158"/>
      <c r="C2179" s="85"/>
      <c r="D2179" s="85"/>
      <c r="E2179" s="85"/>
      <c r="F2179" s="85"/>
      <c r="G2179" s="85"/>
      <c r="H2179" s="159"/>
      <c r="I2179" s="164"/>
      <c r="J2179" s="160"/>
      <c r="K2179" s="164"/>
      <c r="L2179" s="161"/>
      <c r="M2179" s="160"/>
      <c r="N2179" s="161"/>
      <c r="O2179" s="160"/>
      <c r="P2179" s="162"/>
    </row>
    <row r="2180" spans="1:16" ht="11.25" customHeight="1" x14ac:dyDescent="0.2">
      <c r="A2180" s="158"/>
      <c r="B2180" s="158"/>
      <c r="C2180" s="85"/>
      <c r="D2180" s="85"/>
      <c r="E2180" s="85"/>
      <c r="F2180" s="85"/>
      <c r="G2180" s="85"/>
      <c r="H2180" s="159"/>
      <c r="I2180" s="164"/>
      <c r="J2180" s="160"/>
      <c r="K2180" s="164"/>
      <c r="L2180" s="161"/>
      <c r="M2180" s="160"/>
      <c r="N2180" s="161"/>
      <c r="O2180" s="160"/>
      <c r="P2180" s="162"/>
    </row>
    <row r="2181" spans="1:16" ht="11.25" customHeight="1" x14ac:dyDescent="0.2">
      <c r="A2181" s="148"/>
      <c r="B2181" s="149"/>
      <c r="C2181" s="155"/>
      <c r="D2181" s="155"/>
      <c r="E2181" s="155"/>
      <c r="F2181" s="155"/>
      <c r="G2181" s="155"/>
      <c r="H2181" s="148"/>
      <c r="I2181" s="151"/>
      <c r="J2181" s="151"/>
      <c r="K2181" s="151"/>
      <c r="L2181" s="153"/>
      <c r="M2181" s="151"/>
      <c r="N2181" s="156"/>
      <c r="O2181" s="151"/>
      <c r="P2181" s="156"/>
    </row>
    <row r="2182" spans="1:16" ht="11.25" customHeight="1" x14ac:dyDescent="0.2">
      <c r="A2182" s="148"/>
      <c r="B2182" s="149"/>
      <c r="C2182" s="150"/>
      <c r="D2182" s="150"/>
      <c r="E2182" s="150"/>
      <c r="F2182" s="150"/>
      <c r="G2182" s="150"/>
      <c r="H2182" s="148"/>
      <c r="I2182" s="151"/>
      <c r="J2182" s="152"/>
      <c r="K2182" s="176"/>
      <c r="L2182" s="153"/>
      <c r="M2182" s="151"/>
      <c r="N2182" s="156"/>
      <c r="O2182" s="151"/>
      <c r="P2182" s="156"/>
    </row>
    <row r="2183" spans="1:16" ht="11.25" customHeight="1" x14ac:dyDescent="0.2">
      <c r="A2183" s="148"/>
      <c r="B2183" s="149"/>
      <c r="C2183" s="155"/>
      <c r="D2183" s="155"/>
      <c r="E2183" s="155"/>
      <c r="F2183" s="155"/>
      <c r="G2183" s="155"/>
      <c r="H2183" s="148"/>
      <c r="I2183" s="151"/>
      <c r="J2183" s="151"/>
      <c r="K2183" s="151"/>
      <c r="L2183" s="153"/>
      <c r="M2183" s="151"/>
      <c r="N2183" s="153"/>
      <c r="O2183" s="151"/>
      <c r="P2183" s="156"/>
    </row>
    <row r="2184" spans="1:16" ht="11.25" customHeight="1" x14ac:dyDescent="0.2">
      <c r="A2184" s="148"/>
      <c r="B2184" s="149"/>
      <c r="C2184" s="150"/>
      <c r="D2184" s="150"/>
      <c r="E2184" s="150"/>
      <c r="F2184" s="150"/>
      <c r="G2184" s="150"/>
      <c r="H2184" s="148"/>
      <c r="I2184" s="151"/>
      <c r="J2184" s="152"/>
      <c r="K2184" s="166"/>
      <c r="L2184" s="153"/>
      <c r="M2184" s="151"/>
      <c r="N2184" s="153"/>
      <c r="O2184" s="151"/>
      <c r="P2184" s="156"/>
    </row>
    <row r="2185" spans="1:16" ht="11.25" customHeight="1" x14ac:dyDescent="0.2">
      <c r="A2185" s="84"/>
      <c r="B2185" s="154"/>
      <c r="C2185" s="155"/>
      <c r="D2185" s="155"/>
      <c r="E2185" s="155"/>
      <c r="F2185" s="155"/>
      <c r="G2185" s="155"/>
      <c r="H2185" s="148"/>
      <c r="I2185" s="151"/>
      <c r="J2185" s="151"/>
      <c r="K2185" s="151"/>
      <c r="L2185" s="153"/>
      <c r="M2185" s="151"/>
      <c r="N2185" s="156"/>
      <c r="O2185" s="151"/>
      <c r="P2185" s="162"/>
    </row>
    <row r="2186" spans="1:16" ht="11.25" customHeight="1" x14ac:dyDescent="0.2">
      <c r="A2186" s="158"/>
      <c r="B2186" s="158"/>
      <c r="C2186" s="85"/>
      <c r="D2186" s="85"/>
      <c r="E2186" s="85"/>
      <c r="F2186" s="85"/>
      <c r="G2186" s="85"/>
      <c r="H2186" s="159"/>
      <c r="I2186" s="160"/>
      <c r="J2186" s="160"/>
      <c r="K2186" s="160"/>
      <c r="L2186" s="161"/>
      <c r="M2186" s="160"/>
      <c r="N2186" s="161"/>
      <c r="O2186" s="160"/>
      <c r="P2186" s="162"/>
    </row>
    <row r="2187" spans="1:16" ht="11.25" customHeight="1" x14ac:dyDescent="0.2">
      <c r="A2187" s="158"/>
      <c r="B2187" s="158"/>
      <c r="C2187" s="85"/>
      <c r="D2187" s="85"/>
      <c r="E2187" s="85"/>
      <c r="F2187" s="85"/>
      <c r="G2187" s="85"/>
      <c r="H2187" s="159"/>
      <c r="I2187" s="164"/>
      <c r="J2187" s="160"/>
      <c r="K2187" s="164"/>
      <c r="L2187" s="161"/>
      <c r="M2187" s="160"/>
      <c r="N2187" s="161"/>
      <c r="O2187" s="160"/>
      <c r="P2187" s="162"/>
    </row>
    <row r="2188" spans="1:16" ht="11.25" customHeight="1" x14ac:dyDescent="0.2">
      <c r="A2188" s="158"/>
      <c r="B2188" s="158"/>
      <c r="C2188" s="85"/>
      <c r="D2188" s="85"/>
      <c r="E2188" s="85"/>
      <c r="F2188" s="85"/>
      <c r="G2188" s="85"/>
      <c r="H2188" s="159"/>
      <c r="I2188" s="164"/>
      <c r="J2188" s="160"/>
      <c r="K2188" s="164"/>
      <c r="L2188" s="161"/>
      <c r="M2188" s="160"/>
      <c r="N2188" s="161"/>
      <c r="O2188" s="160"/>
      <c r="P2188" s="162"/>
    </row>
    <row r="2189" spans="1:16" ht="11.25" customHeight="1" x14ac:dyDescent="0.2">
      <c r="A2189" s="148"/>
      <c r="B2189" s="149"/>
      <c r="C2189" s="155"/>
      <c r="D2189" s="155"/>
      <c r="E2189" s="155"/>
      <c r="F2189" s="155"/>
      <c r="G2189" s="155"/>
      <c r="H2189" s="148"/>
      <c r="I2189" s="151"/>
      <c r="J2189" s="151"/>
      <c r="K2189" s="151"/>
      <c r="L2189" s="153"/>
      <c r="M2189" s="151"/>
      <c r="N2189" s="156"/>
      <c r="O2189" s="151"/>
      <c r="P2189" s="156"/>
    </row>
    <row r="2190" spans="1:16" ht="11.25" customHeight="1" x14ac:dyDescent="0.2">
      <c r="A2190" s="148"/>
      <c r="B2190" s="149"/>
      <c r="C2190" s="150"/>
      <c r="D2190" s="150"/>
      <c r="E2190" s="150"/>
      <c r="F2190" s="150"/>
      <c r="G2190" s="150"/>
      <c r="H2190" s="148"/>
      <c r="I2190" s="151"/>
      <c r="J2190" s="152"/>
      <c r="K2190" s="176"/>
      <c r="L2190" s="153"/>
      <c r="M2190" s="151"/>
      <c r="N2190" s="156"/>
      <c r="O2190" s="151"/>
      <c r="P2190" s="156"/>
    </row>
    <row r="2191" spans="1:16" ht="11.25" customHeight="1" x14ac:dyDescent="0.2">
      <c r="A2191" s="148"/>
      <c r="B2191" s="149"/>
      <c r="C2191" s="155"/>
      <c r="D2191" s="155"/>
      <c r="E2191" s="155"/>
      <c r="F2191" s="155"/>
      <c r="G2191" s="155"/>
      <c r="H2191" s="148"/>
      <c r="I2191" s="151"/>
      <c r="J2191" s="151"/>
      <c r="K2191" s="151"/>
      <c r="L2191" s="153"/>
      <c r="M2191" s="151"/>
      <c r="N2191" s="153"/>
      <c r="O2191" s="151"/>
      <c r="P2191" s="156"/>
    </row>
    <row r="2192" spans="1:16" ht="11.25" customHeight="1" x14ac:dyDescent="0.2">
      <c r="A2192" s="148"/>
      <c r="B2192" s="149"/>
      <c r="C2192" s="150"/>
      <c r="D2192" s="150"/>
      <c r="E2192" s="150"/>
      <c r="F2192" s="150"/>
      <c r="G2192" s="150"/>
      <c r="H2192" s="148"/>
      <c r="I2192" s="151"/>
      <c r="J2192" s="152"/>
      <c r="K2192" s="166"/>
      <c r="L2192" s="153"/>
      <c r="M2192" s="151"/>
      <c r="N2192" s="153"/>
      <c r="O2192" s="151"/>
      <c r="P2192" s="156"/>
    </row>
    <row r="2193" spans="1:16" ht="11.25" customHeight="1" x14ac:dyDescent="0.2">
      <c r="A2193" s="84"/>
      <c r="B2193" s="154"/>
      <c r="C2193" s="155"/>
      <c r="D2193" s="155"/>
      <c r="E2193" s="155"/>
      <c r="F2193" s="155"/>
      <c r="G2193" s="155"/>
      <c r="H2193" s="148"/>
      <c r="I2193" s="151"/>
      <c r="J2193" s="151"/>
      <c r="K2193" s="151"/>
      <c r="L2193" s="153"/>
      <c r="M2193" s="151"/>
      <c r="N2193" s="156"/>
      <c r="O2193" s="151"/>
      <c r="P2193" s="156"/>
    </row>
    <row r="2194" spans="1:16" ht="11.25" customHeight="1" x14ac:dyDescent="0.2">
      <c r="A2194" s="158"/>
      <c r="B2194" s="158"/>
      <c r="C2194" s="85"/>
      <c r="D2194" s="85"/>
      <c r="E2194" s="85"/>
      <c r="F2194" s="85"/>
      <c r="G2194" s="85"/>
      <c r="H2194" s="159"/>
      <c r="I2194" s="160"/>
      <c r="J2194" s="160"/>
      <c r="K2194" s="160"/>
      <c r="L2194" s="161"/>
      <c r="M2194" s="160"/>
      <c r="N2194" s="161"/>
      <c r="O2194" s="160"/>
      <c r="P2194" s="162"/>
    </row>
    <row r="2195" spans="1:16" ht="11.25" customHeight="1" x14ac:dyDescent="0.2">
      <c r="A2195" s="158"/>
      <c r="B2195" s="158"/>
      <c r="C2195" s="85"/>
      <c r="D2195" s="85"/>
      <c r="E2195" s="85"/>
      <c r="F2195" s="85"/>
      <c r="G2195" s="85"/>
      <c r="H2195" s="159"/>
      <c r="I2195" s="164"/>
      <c r="J2195" s="160"/>
      <c r="K2195" s="164"/>
      <c r="L2195" s="161"/>
      <c r="M2195" s="160"/>
      <c r="N2195" s="161"/>
      <c r="O2195" s="160"/>
      <c r="P2195" s="162"/>
    </row>
    <row r="2196" spans="1:16" ht="11.25" customHeight="1" x14ac:dyDescent="0.2">
      <c r="A2196" s="158"/>
      <c r="B2196" s="158"/>
      <c r="C2196" s="85"/>
      <c r="D2196" s="85"/>
      <c r="E2196" s="85"/>
      <c r="F2196" s="85"/>
      <c r="G2196" s="85"/>
      <c r="H2196" s="159"/>
      <c r="I2196" s="164"/>
      <c r="J2196" s="160"/>
      <c r="K2196" s="164"/>
      <c r="L2196" s="161"/>
      <c r="M2196" s="160"/>
      <c r="N2196" s="161"/>
      <c r="O2196" s="160"/>
      <c r="P2196" s="162"/>
    </row>
    <row r="2197" spans="1:16" ht="11.25" customHeight="1" x14ac:dyDescent="0.2">
      <c r="A2197" s="148"/>
      <c r="B2197" s="149"/>
      <c r="C2197" s="155"/>
      <c r="D2197" s="155"/>
      <c r="E2197" s="155"/>
      <c r="F2197" s="155"/>
      <c r="G2197" s="155"/>
      <c r="H2197" s="148"/>
      <c r="I2197" s="151"/>
      <c r="J2197" s="151"/>
      <c r="K2197" s="151"/>
      <c r="L2197" s="153"/>
      <c r="M2197" s="151"/>
      <c r="N2197" s="156"/>
      <c r="O2197" s="151"/>
      <c r="P2197" s="156"/>
    </row>
    <row r="2198" spans="1:16" ht="11.25" customHeight="1" x14ac:dyDescent="0.2">
      <c r="A2198" s="148"/>
      <c r="B2198" s="149"/>
      <c r="C2198" s="150"/>
      <c r="D2198" s="150"/>
      <c r="E2198" s="150"/>
      <c r="F2198" s="150"/>
      <c r="G2198" s="150"/>
      <c r="H2198" s="148"/>
      <c r="I2198" s="151"/>
      <c r="J2198" s="152"/>
      <c r="K2198" s="152"/>
      <c r="L2198" s="156"/>
      <c r="M2198" s="175"/>
      <c r="N2198" s="156"/>
      <c r="O2198" s="151"/>
      <c r="P2198" s="156"/>
    </row>
    <row r="2199" spans="1:16" ht="11.25" customHeight="1" x14ac:dyDescent="0.2">
      <c r="A2199" s="148"/>
      <c r="B2199" s="149"/>
      <c r="C2199" s="155"/>
      <c r="D2199" s="155"/>
      <c r="E2199" s="155"/>
      <c r="F2199" s="155"/>
      <c r="G2199" s="155"/>
      <c r="H2199" s="148"/>
      <c r="I2199" s="151"/>
      <c r="J2199" s="151"/>
      <c r="K2199" s="151"/>
      <c r="L2199" s="153"/>
      <c r="M2199" s="151"/>
      <c r="N2199" s="153"/>
      <c r="O2199" s="151"/>
      <c r="P2199" s="156"/>
    </row>
    <row r="2200" spans="1:16" ht="11.25" customHeight="1" x14ac:dyDescent="0.2">
      <c r="A2200" s="148"/>
      <c r="B2200" s="149"/>
      <c r="C2200" s="150"/>
      <c r="D2200" s="150"/>
      <c r="E2200" s="150"/>
      <c r="F2200" s="150"/>
      <c r="G2200" s="150"/>
      <c r="H2200" s="148"/>
      <c r="I2200" s="151"/>
      <c r="J2200" s="152"/>
      <c r="K2200" s="168"/>
      <c r="L2200" s="156"/>
      <c r="M2200" s="168"/>
      <c r="N2200" s="156"/>
      <c r="O2200" s="151"/>
      <c r="P2200" s="156"/>
    </row>
    <row r="2201" spans="1:16" ht="11.25" customHeight="1" x14ac:dyDescent="0.2">
      <c r="A2201" s="148"/>
      <c r="B2201" s="149"/>
      <c r="C2201" s="155"/>
      <c r="D2201" s="155"/>
      <c r="E2201" s="155"/>
      <c r="F2201" s="155"/>
      <c r="G2201" s="155"/>
      <c r="H2201" s="148"/>
      <c r="I2201" s="151"/>
      <c r="J2201" s="151"/>
      <c r="K2201" s="151"/>
      <c r="L2201" s="153"/>
      <c r="M2201" s="151"/>
      <c r="N2201" s="153"/>
      <c r="O2201" s="151"/>
      <c r="P2201" s="156"/>
    </row>
    <row r="2202" spans="1:16" ht="11.25" customHeight="1" x14ac:dyDescent="0.2">
      <c r="A2202" s="148"/>
      <c r="B2202" s="149"/>
      <c r="C2202" s="150"/>
      <c r="D2202" s="150"/>
      <c r="E2202" s="150"/>
      <c r="F2202" s="150"/>
      <c r="G2202" s="150"/>
      <c r="H2202" s="148"/>
      <c r="I2202" s="151"/>
      <c r="J2202" s="152"/>
      <c r="K2202" s="175"/>
      <c r="L2202" s="167"/>
      <c r="M2202" s="168"/>
      <c r="N2202" s="167"/>
      <c r="O2202" s="151"/>
      <c r="P2202" s="156"/>
    </row>
    <row r="2203" spans="1:16" ht="11.25" customHeight="1" x14ac:dyDescent="0.2">
      <c r="A2203" s="148"/>
      <c r="B2203" s="149"/>
      <c r="C2203" s="155"/>
      <c r="D2203" s="155"/>
      <c r="E2203" s="155"/>
      <c r="F2203" s="155"/>
      <c r="G2203" s="155"/>
      <c r="H2203" s="148"/>
      <c r="I2203" s="151"/>
      <c r="J2203" s="151"/>
      <c r="K2203" s="151"/>
      <c r="L2203" s="153"/>
      <c r="M2203" s="151"/>
      <c r="N2203" s="153"/>
      <c r="O2203" s="151"/>
      <c r="P2203" s="156"/>
    </row>
    <row r="2204" spans="1:16" ht="11.25" customHeight="1" x14ac:dyDescent="0.2">
      <c r="A2204" s="144"/>
      <c r="B2204" s="144"/>
      <c r="C2204" s="144"/>
      <c r="D2204" s="144"/>
      <c r="E2204" s="144"/>
      <c r="F2204" s="144"/>
      <c r="G2204" s="144"/>
      <c r="H2204" s="144"/>
      <c r="I2204" s="144"/>
      <c r="J2204" s="144"/>
      <c r="K2204" s="144"/>
      <c r="L2204" s="144"/>
      <c r="M2204" s="144"/>
      <c r="N2204" s="144"/>
      <c r="O2204" s="144"/>
      <c r="P2204" s="144"/>
    </row>
    <row r="2205" spans="1:16" ht="11.25" customHeight="1" x14ac:dyDescent="0.2">
      <c r="A2205" s="148"/>
      <c r="B2205" s="149"/>
      <c r="C2205" s="150"/>
      <c r="D2205" s="150"/>
      <c r="E2205" s="150"/>
      <c r="F2205" s="150"/>
      <c r="G2205" s="150"/>
      <c r="H2205" s="148"/>
      <c r="I2205" s="151"/>
      <c r="J2205" s="152"/>
      <c r="K2205" s="175"/>
      <c r="L2205" s="153"/>
      <c r="M2205" s="151"/>
      <c r="N2205" s="153"/>
      <c r="O2205" s="151"/>
      <c r="P2205" s="153"/>
    </row>
    <row r="2206" spans="1:16" ht="11.25" customHeight="1" x14ac:dyDescent="0.2">
      <c r="A2206" s="84"/>
      <c r="B2206" s="154"/>
      <c r="C2206" s="155"/>
      <c r="D2206" s="155"/>
      <c r="E2206" s="155"/>
      <c r="F2206" s="155"/>
      <c r="G2206" s="155"/>
      <c r="H2206" s="148"/>
      <c r="I2206" s="151"/>
      <c r="J2206" s="151"/>
      <c r="K2206" s="151"/>
      <c r="L2206" s="153"/>
      <c r="M2206" s="151"/>
      <c r="N2206" s="156"/>
      <c r="O2206" s="151"/>
      <c r="P2206" s="156"/>
    </row>
    <row r="2207" spans="1:16" ht="11.25" customHeight="1" x14ac:dyDescent="0.2">
      <c r="A2207" s="158"/>
      <c r="B2207" s="158"/>
      <c r="C2207" s="85"/>
      <c r="D2207" s="85"/>
      <c r="E2207" s="85"/>
      <c r="F2207" s="85"/>
      <c r="G2207" s="85"/>
      <c r="H2207" s="159"/>
      <c r="I2207" s="160"/>
      <c r="J2207" s="160"/>
      <c r="K2207" s="160"/>
      <c r="L2207" s="161"/>
      <c r="M2207" s="160"/>
      <c r="N2207" s="161"/>
      <c r="O2207" s="160"/>
      <c r="P2207" s="162"/>
    </row>
    <row r="2208" spans="1:16" ht="11.25" customHeight="1" x14ac:dyDescent="0.2">
      <c r="A2208" s="158"/>
      <c r="B2208" s="158"/>
      <c r="C2208" s="85"/>
      <c r="D2208" s="85"/>
      <c r="E2208" s="85"/>
      <c r="F2208" s="85"/>
      <c r="G2208" s="85"/>
      <c r="H2208" s="159"/>
      <c r="I2208" s="164"/>
      <c r="J2208" s="160"/>
      <c r="K2208" s="164"/>
      <c r="L2208" s="161"/>
      <c r="M2208" s="160"/>
      <c r="N2208" s="161"/>
      <c r="O2208" s="160"/>
      <c r="P2208" s="162"/>
    </row>
    <row r="2209" spans="1:16" ht="11.25" customHeight="1" x14ac:dyDescent="0.2">
      <c r="A2209" s="158"/>
      <c r="B2209" s="158"/>
      <c r="C2209" s="85"/>
      <c r="D2209" s="85"/>
      <c r="E2209" s="85"/>
      <c r="F2209" s="85"/>
      <c r="G2209" s="85"/>
      <c r="H2209" s="159"/>
      <c r="I2209" s="164"/>
      <c r="J2209" s="160"/>
      <c r="K2209" s="164"/>
      <c r="L2209" s="161"/>
      <c r="M2209" s="160"/>
      <c r="N2209" s="161"/>
      <c r="O2209" s="160"/>
      <c r="P2209" s="162"/>
    </row>
    <row r="2210" spans="1:16" ht="11.25" customHeight="1" x14ac:dyDescent="0.2">
      <c r="A2210" s="148"/>
      <c r="B2210" s="149"/>
      <c r="C2210" s="155"/>
      <c r="D2210" s="155"/>
      <c r="E2210" s="155"/>
      <c r="F2210" s="155"/>
      <c r="G2210" s="155"/>
      <c r="H2210" s="148"/>
      <c r="I2210" s="151"/>
      <c r="J2210" s="151"/>
      <c r="K2210" s="151"/>
      <c r="L2210" s="153"/>
      <c r="M2210" s="151"/>
      <c r="N2210" s="156"/>
      <c r="O2210" s="151"/>
      <c r="P2210" s="156"/>
    </row>
    <row r="2211" spans="1:16" ht="11.25" customHeight="1" x14ac:dyDescent="0.2">
      <c r="A2211" s="148"/>
      <c r="B2211" s="149"/>
      <c r="C2211" s="150"/>
      <c r="D2211" s="150"/>
      <c r="E2211" s="150"/>
      <c r="F2211" s="150"/>
      <c r="G2211" s="150"/>
      <c r="H2211" s="148"/>
      <c r="I2211" s="151"/>
      <c r="J2211" s="152"/>
      <c r="K2211" s="152"/>
      <c r="L2211" s="156"/>
      <c r="M2211" s="168"/>
      <c r="N2211" s="156"/>
      <c r="O2211" s="151"/>
      <c r="P2211" s="156"/>
    </row>
    <row r="2212" spans="1:16" ht="11.25" customHeight="1" x14ac:dyDescent="0.2">
      <c r="A2212" s="148"/>
      <c r="B2212" s="149"/>
      <c r="C2212" s="155"/>
      <c r="D2212" s="155"/>
      <c r="E2212" s="155"/>
      <c r="F2212" s="155"/>
      <c r="G2212" s="155"/>
      <c r="H2212" s="148"/>
      <c r="I2212" s="151"/>
      <c r="J2212" s="151"/>
      <c r="K2212" s="151"/>
      <c r="L2212" s="153"/>
      <c r="M2212" s="151"/>
      <c r="N2212" s="153"/>
      <c r="O2212" s="151"/>
      <c r="P2212" s="156"/>
    </row>
    <row r="2213" spans="1:16" ht="11.25" customHeight="1" x14ac:dyDescent="0.2">
      <c r="A2213" s="148"/>
      <c r="B2213" s="149"/>
      <c r="C2213" s="150"/>
      <c r="D2213" s="150"/>
      <c r="E2213" s="150"/>
      <c r="F2213" s="150"/>
      <c r="G2213" s="150"/>
      <c r="H2213" s="148"/>
      <c r="I2213" s="151"/>
      <c r="J2213" s="152"/>
      <c r="K2213" s="168"/>
      <c r="L2213" s="153"/>
      <c r="M2213" s="151"/>
      <c r="N2213" s="153"/>
      <c r="O2213" s="151"/>
      <c r="P2213" s="156"/>
    </row>
    <row r="2214" spans="1:16" ht="11.25" customHeight="1" x14ac:dyDescent="0.2">
      <c r="A2214" s="84"/>
      <c r="B2214" s="154"/>
      <c r="C2214" s="155"/>
      <c r="D2214" s="155"/>
      <c r="E2214" s="155"/>
      <c r="F2214" s="155"/>
      <c r="G2214" s="155"/>
      <c r="H2214" s="148"/>
      <c r="I2214" s="151"/>
      <c r="J2214" s="151"/>
      <c r="K2214" s="151"/>
      <c r="L2214" s="153"/>
      <c r="M2214" s="151"/>
      <c r="N2214" s="156"/>
      <c r="O2214" s="151"/>
      <c r="P2214" s="156"/>
    </row>
    <row r="2215" spans="1:16" ht="11.25" customHeight="1" x14ac:dyDescent="0.2">
      <c r="A2215" s="158"/>
      <c r="B2215" s="158"/>
      <c r="C2215" s="85"/>
      <c r="D2215" s="85"/>
      <c r="E2215" s="85"/>
      <c r="F2215" s="85"/>
      <c r="G2215" s="85"/>
      <c r="H2215" s="159"/>
      <c r="I2215" s="160"/>
      <c r="J2215" s="160"/>
      <c r="K2215" s="160"/>
      <c r="L2215" s="161"/>
      <c r="M2215" s="160"/>
      <c r="N2215" s="161"/>
      <c r="O2215" s="160"/>
      <c r="P2215" s="162"/>
    </row>
    <row r="2216" spans="1:16" ht="11.25" customHeight="1" x14ac:dyDescent="0.2">
      <c r="A2216" s="158"/>
      <c r="B2216" s="158"/>
      <c r="C2216" s="85"/>
      <c r="D2216" s="85"/>
      <c r="E2216" s="85"/>
      <c r="F2216" s="85"/>
      <c r="G2216" s="85"/>
      <c r="H2216" s="159"/>
      <c r="I2216" s="164"/>
      <c r="J2216" s="160"/>
      <c r="K2216" s="164"/>
      <c r="L2216" s="161"/>
      <c r="M2216" s="160"/>
      <c r="N2216" s="161"/>
      <c r="O2216" s="160"/>
      <c r="P2216" s="162"/>
    </row>
    <row r="2217" spans="1:16" ht="11.25" customHeight="1" x14ac:dyDescent="0.2">
      <c r="A2217" s="158"/>
      <c r="B2217" s="158"/>
      <c r="C2217" s="85"/>
      <c r="D2217" s="85"/>
      <c r="E2217" s="85"/>
      <c r="F2217" s="85"/>
      <c r="G2217" s="85"/>
      <c r="H2217" s="159"/>
      <c r="I2217" s="164"/>
      <c r="J2217" s="160"/>
      <c r="K2217" s="164"/>
      <c r="L2217" s="161"/>
      <c r="M2217" s="160"/>
      <c r="N2217" s="161"/>
      <c r="O2217" s="160"/>
      <c r="P2217" s="162"/>
    </row>
    <row r="2218" spans="1:16" ht="11.25" customHeight="1" x14ac:dyDescent="0.2">
      <c r="A2218" s="148"/>
      <c r="B2218" s="149"/>
      <c r="C2218" s="155"/>
      <c r="D2218" s="155"/>
      <c r="E2218" s="155"/>
      <c r="F2218" s="155"/>
      <c r="G2218" s="155"/>
      <c r="H2218" s="148"/>
      <c r="I2218" s="151"/>
      <c r="J2218" s="151"/>
      <c r="K2218" s="151"/>
      <c r="L2218" s="153"/>
      <c r="M2218" s="151"/>
      <c r="N2218" s="156"/>
      <c r="O2218" s="151"/>
      <c r="P2218" s="156"/>
    </row>
    <row r="2219" spans="1:16" ht="11.25" customHeight="1" x14ac:dyDescent="0.2">
      <c r="A2219" s="148"/>
      <c r="B2219" s="149"/>
      <c r="C2219" s="172"/>
      <c r="D2219" s="172"/>
      <c r="E2219" s="172"/>
      <c r="F2219" s="172"/>
      <c r="G2219" s="172"/>
      <c r="H2219" s="148"/>
      <c r="I2219" s="151"/>
      <c r="J2219" s="152"/>
      <c r="K2219" s="152"/>
      <c r="L2219" s="156"/>
      <c r="M2219" s="175"/>
      <c r="N2219" s="156"/>
      <c r="O2219" s="151"/>
      <c r="P2219" s="156"/>
    </row>
    <row r="2220" spans="1:16" ht="11.25" customHeight="1" x14ac:dyDescent="0.2">
      <c r="A2220" s="148"/>
      <c r="B2220" s="149"/>
      <c r="C2220" s="173"/>
      <c r="D2220" s="173"/>
      <c r="E2220" s="173"/>
      <c r="F2220" s="173"/>
      <c r="G2220" s="173"/>
      <c r="H2220" s="148"/>
      <c r="I2220" s="151"/>
      <c r="J2220" s="151"/>
      <c r="K2220" s="151"/>
      <c r="L2220" s="153"/>
      <c r="M2220" s="151"/>
      <c r="N2220" s="153"/>
      <c r="O2220" s="151"/>
      <c r="P2220" s="156"/>
    </row>
    <row r="2221" spans="1:16" ht="11.25" customHeight="1" x14ac:dyDescent="0.2">
      <c r="A2221" s="148"/>
      <c r="B2221" s="149"/>
      <c r="C2221" s="150"/>
      <c r="D2221" s="150"/>
      <c r="E2221" s="150"/>
      <c r="F2221" s="150"/>
      <c r="G2221" s="150"/>
      <c r="H2221" s="148"/>
      <c r="I2221" s="151"/>
      <c r="J2221" s="152"/>
      <c r="K2221" s="168"/>
      <c r="L2221" s="153"/>
      <c r="M2221" s="151"/>
      <c r="N2221" s="153"/>
      <c r="O2221" s="151"/>
      <c r="P2221" s="156"/>
    </row>
    <row r="2222" spans="1:16" ht="11.25" customHeight="1" x14ac:dyDescent="0.2">
      <c r="A2222" s="84"/>
      <c r="B2222" s="154"/>
      <c r="C2222" s="155"/>
      <c r="D2222" s="155"/>
      <c r="E2222" s="155"/>
      <c r="F2222" s="155"/>
      <c r="G2222" s="155"/>
      <c r="H2222" s="148"/>
      <c r="I2222" s="151"/>
      <c r="J2222" s="151"/>
      <c r="K2222" s="151"/>
      <c r="L2222" s="153"/>
      <c r="M2222" s="151"/>
      <c r="N2222" s="156"/>
      <c r="O2222" s="151"/>
      <c r="P2222" s="156"/>
    </row>
    <row r="2223" spans="1:16" ht="11.25" customHeight="1" x14ac:dyDescent="0.2">
      <c r="A2223" s="158"/>
      <c r="B2223" s="158"/>
      <c r="C2223" s="85"/>
      <c r="D2223" s="85"/>
      <c r="E2223" s="85"/>
      <c r="F2223" s="85"/>
      <c r="G2223" s="85"/>
      <c r="H2223" s="159"/>
      <c r="I2223" s="160"/>
      <c r="J2223" s="160"/>
      <c r="K2223" s="160"/>
      <c r="L2223" s="161"/>
      <c r="M2223" s="160"/>
      <c r="N2223" s="161"/>
      <c r="O2223" s="160"/>
      <c r="P2223" s="162"/>
    </row>
    <row r="2224" spans="1:16" ht="11.25" customHeight="1" x14ac:dyDescent="0.2">
      <c r="A2224" s="158"/>
      <c r="B2224" s="158"/>
      <c r="C2224" s="85"/>
      <c r="D2224" s="85"/>
      <c r="E2224" s="85"/>
      <c r="F2224" s="85"/>
      <c r="G2224" s="85"/>
      <c r="H2224" s="159"/>
      <c r="I2224" s="164"/>
      <c r="J2224" s="160"/>
      <c r="K2224" s="164"/>
      <c r="L2224" s="161"/>
      <c r="M2224" s="160"/>
      <c r="N2224" s="161"/>
      <c r="O2224" s="160"/>
      <c r="P2224" s="162"/>
    </row>
    <row r="2225" spans="1:16" ht="11.25" customHeight="1" x14ac:dyDescent="0.2">
      <c r="A2225" s="158"/>
      <c r="B2225" s="158"/>
      <c r="C2225" s="85"/>
      <c r="D2225" s="85"/>
      <c r="E2225" s="85"/>
      <c r="F2225" s="85"/>
      <c r="G2225" s="85"/>
      <c r="H2225" s="159"/>
      <c r="I2225" s="164"/>
      <c r="J2225" s="160"/>
      <c r="K2225" s="164"/>
      <c r="L2225" s="161"/>
      <c r="M2225" s="160"/>
      <c r="N2225" s="161"/>
      <c r="O2225" s="160"/>
      <c r="P2225" s="162"/>
    </row>
    <row r="2226" spans="1:16" ht="11.25" customHeight="1" x14ac:dyDescent="0.2">
      <c r="A2226" s="148"/>
      <c r="B2226" s="149"/>
      <c r="C2226" s="155"/>
      <c r="D2226" s="155"/>
      <c r="E2226" s="155"/>
      <c r="F2226" s="155"/>
      <c r="G2226" s="155"/>
      <c r="H2226" s="148"/>
      <c r="I2226" s="151"/>
      <c r="J2226" s="151"/>
      <c r="K2226" s="151"/>
      <c r="L2226" s="153"/>
      <c r="M2226" s="151"/>
      <c r="N2226" s="156"/>
      <c r="O2226" s="151"/>
      <c r="P2226" s="156"/>
    </row>
    <row r="2227" spans="1:16" ht="11.25" customHeight="1" x14ac:dyDescent="0.2">
      <c r="A2227" s="148"/>
      <c r="B2227" s="149"/>
      <c r="C2227" s="150"/>
      <c r="D2227" s="150"/>
      <c r="E2227" s="150"/>
      <c r="F2227" s="150"/>
      <c r="G2227" s="150"/>
      <c r="H2227" s="148"/>
      <c r="I2227" s="151"/>
      <c r="J2227" s="152"/>
      <c r="K2227" s="152"/>
      <c r="L2227" s="167"/>
      <c r="M2227" s="168"/>
      <c r="N2227" s="167"/>
      <c r="O2227" s="151"/>
      <c r="P2227" s="156"/>
    </row>
    <row r="2228" spans="1:16" ht="11.25" customHeight="1" x14ac:dyDescent="0.2">
      <c r="A2228" s="148"/>
      <c r="B2228" s="149"/>
      <c r="C2228" s="155"/>
      <c r="D2228" s="155"/>
      <c r="E2228" s="155"/>
      <c r="F2228" s="155"/>
      <c r="G2228" s="155"/>
      <c r="H2228" s="148"/>
      <c r="I2228" s="151"/>
      <c r="J2228" s="151"/>
      <c r="K2228" s="151"/>
      <c r="L2228" s="153"/>
      <c r="M2228" s="151"/>
      <c r="N2228" s="153"/>
      <c r="O2228" s="151"/>
      <c r="P2228" s="156"/>
    </row>
    <row r="2229" spans="1:16" ht="11.25" customHeight="1" x14ac:dyDescent="0.2">
      <c r="A2229" s="148"/>
      <c r="B2229" s="149"/>
      <c r="C2229" s="150"/>
      <c r="D2229" s="150"/>
      <c r="E2229" s="150"/>
      <c r="F2229" s="150"/>
      <c r="G2229" s="150"/>
      <c r="H2229" s="148"/>
      <c r="I2229" s="151"/>
      <c r="J2229" s="152"/>
      <c r="K2229" s="168"/>
      <c r="L2229" s="153"/>
      <c r="M2229" s="151"/>
      <c r="N2229" s="153"/>
      <c r="O2229" s="151"/>
      <c r="P2229" s="156"/>
    </row>
    <row r="2230" spans="1:16" ht="11.25" customHeight="1" x14ac:dyDescent="0.2">
      <c r="A2230" s="84"/>
      <c r="B2230" s="154"/>
      <c r="C2230" s="155"/>
      <c r="D2230" s="155"/>
      <c r="E2230" s="155"/>
      <c r="F2230" s="155"/>
      <c r="G2230" s="155"/>
      <c r="H2230" s="148"/>
      <c r="I2230" s="151"/>
      <c r="J2230" s="151"/>
      <c r="K2230" s="151"/>
      <c r="L2230" s="153"/>
      <c r="M2230" s="151"/>
      <c r="N2230" s="156"/>
      <c r="O2230" s="151"/>
      <c r="P2230" s="156"/>
    </row>
    <row r="2231" spans="1:16" ht="11.25" customHeight="1" x14ac:dyDescent="0.2">
      <c r="A2231" s="158"/>
      <c r="B2231" s="158"/>
      <c r="C2231" s="85"/>
      <c r="D2231" s="85"/>
      <c r="E2231" s="85"/>
      <c r="F2231" s="85"/>
      <c r="G2231" s="85"/>
      <c r="H2231" s="159"/>
      <c r="I2231" s="160"/>
      <c r="J2231" s="160"/>
      <c r="K2231" s="160"/>
      <c r="L2231" s="161"/>
      <c r="M2231" s="160"/>
      <c r="N2231" s="161"/>
      <c r="O2231" s="160"/>
      <c r="P2231" s="162"/>
    </row>
    <row r="2232" spans="1:16" ht="11.25" customHeight="1" x14ac:dyDescent="0.2">
      <c r="A2232" s="158"/>
      <c r="B2232" s="158"/>
      <c r="C2232" s="85"/>
      <c r="D2232" s="85"/>
      <c r="E2232" s="85"/>
      <c r="F2232" s="85"/>
      <c r="G2232" s="85"/>
      <c r="H2232" s="159"/>
      <c r="I2232" s="164"/>
      <c r="J2232" s="160"/>
      <c r="K2232" s="164"/>
      <c r="L2232" s="161"/>
      <c r="M2232" s="160"/>
      <c r="N2232" s="161"/>
      <c r="O2232" s="160"/>
      <c r="P2232" s="162"/>
    </row>
    <row r="2233" spans="1:16" ht="11.25" customHeight="1" x14ac:dyDescent="0.2">
      <c r="A2233" s="158"/>
      <c r="B2233" s="158"/>
      <c r="C2233" s="85"/>
      <c r="D2233" s="85"/>
      <c r="E2233" s="85"/>
      <c r="F2233" s="85"/>
      <c r="G2233" s="85"/>
      <c r="H2233" s="159"/>
      <c r="I2233" s="164"/>
      <c r="J2233" s="160"/>
      <c r="K2233" s="164"/>
      <c r="L2233" s="161"/>
      <c r="M2233" s="160"/>
      <c r="N2233" s="161"/>
      <c r="O2233" s="160"/>
      <c r="P2233" s="162"/>
    </row>
    <row r="2234" spans="1:16" ht="11.25" customHeight="1" x14ac:dyDescent="0.2">
      <c r="A2234" s="148"/>
      <c r="B2234" s="149"/>
      <c r="C2234" s="155"/>
      <c r="D2234" s="155"/>
      <c r="E2234" s="155"/>
      <c r="F2234" s="155"/>
      <c r="G2234" s="155"/>
      <c r="H2234" s="148"/>
      <c r="I2234" s="151"/>
      <c r="J2234" s="151"/>
      <c r="K2234" s="151"/>
      <c r="L2234" s="153"/>
      <c r="M2234" s="151"/>
      <c r="N2234" s="156"/>
      <c r="O2234" s="151"/>
      <c r="P2234" s="156"/>
    </row>
    <row r="2235" spans="1:16" ht="11.25" customHeight="1" x14ac:dyDescent="0.2">
      <c r="A2235" s="148"/>
      <c r="B2235" s="149"/>
      <c r="C2235" s="150"/>
      <c r="D2235" s="150"/>
      <c r="E2235" s="150"/>
      <c r="F2235" s="150"/>
      <c r="G2235" s="150"/>
      <c r="H2235" s="148"/>
      <c r="I2235" s="151"/>
      <c r="J2235" s="152"/>
      <c r="K2235" s="171"/>
      <c r="L2235" s="167"/>
      <c r="M2235" s="168"/>
      <c r="N2235" s="167"/>
      <c r="O2235" s="151"/>
      <c r="P2235" s="156"/>
    </row>
    <row r="2236" spans="1:16" ht="11.25" customHeight="1" x14ac:dyDescent="0.2">
      <c r="A2236" s="148"/>
      <c r="B2236" s="149"/>
      <c r="C2236" s="155"/>
      <c r="D2236" s="155"/>
      <c r="E2236" s="155"/>
      <c r="F2236" s="155"/>
      <c r="G2236" s="155"/>
      <c r="H2236" s="148"/>
      <c r="I2236" s="151"/>
      <c r="J2236" s="151"/>
      <c r="K2236" s="151"/>
      <c r="L2236" s="153"/>
      <c r="M2236" s="151"/>
      <c r="N2236" s="153"/>
      <c r="O2236" s="151"/>
      <c r="P2236" s="156"/>
    </row>
    <row r="2237" spans="1:16" ht="11.25" customHeight="1" x14ac:dyDescent="0.2">
      <c r="A2237" s="148"/>
      <c r="B2237" s="149"/>
      <c r="C2237" s="150"/>
      <c r="D2237" s="150"/>
      <c r="E2237" s="150"/>
      <c r="F2237" s="150"/>
      <c r="G2237" s="150"/>
      <c r="H2237" s="148"/>
      <c r="I2237" s="151"/>
      <c r="J2237" s="152"/>
      <c r="K2237" s="152"/>
      <c r="L2237" s="167"/>
      <c r="M2237" s="168"/>
      <c r="N2237" s="167"/>
      <c r="O2237" s="151"/>
      <c r="P2237" s="156"/>
    </row>
    <row r="2238" spans="1:16" ht="11.25" customHeight="1" x14ac:dyDescent="0.2">
      <c r="A2238" s="148"/>
      <c r="B2238" s="149"/>
      <c r="C2238" s="155"/>
      <c r="D2238" s="155"/>
      <c r="E2238" s="155"/>
      <c r="F2238" s="155"/>
      <c r="G2238" s="155"/>
      <c r="H2238" s="148"/>
      <c r="I2238" s="151"/>
      <c r="J2238" s="151"/>
      <c r="K2238" s="151"/>
      <c r="L2238" s="153"/>
      <c r="M2238" s="151"/>
      <c r="N2238" s="153"/>
      <c r="O2238" s="151"/>
      <c r="P2238" s="156"/>
    </row>
    <row r="2239" spans="1:16" ht="11.25" customHeight="1" x14ac:dyDescent="0.2">
      <c r="A2239" s="148"/>
      <c r="B2239" s="149"/>
      <c r="C2239" s="150"/>
      <c r="D2239" s="150"/>
      <c r="E2239" s="150"/>
      <c r="F2239" s="150"/>
      <c r="G2239" s="150"/>
      <c r="H2239" s="148"/>
      <c r="I2239" s="151"/>
      <c r="J2239" s="152"/>
      <c r="K2239" s="152"/>
      <c r="L2239" s="167"/>
      <c r="M2239" s="168"/>
      <c r="N2239" s="167"/>
      <c r="O2239" s="151"/>
      <c r="P2239" s="156"/>
    </row>
    <row r="2240" spans="1:16" ht="11.25" customHeight="1" x14ac:dyDescent="0.2">
      <c r="A2240" s="148"/>
      <c r="B2240" s="149"/>
      <c r="C2240" s="155"/>
      <c r="D2240" s="155"/>
      <c r="E2240" s="155"/>
      <c r="F2240" s="155"/>
      <c r="G2240" s="155"/>
      <c r="H2240" s="148"/>
      <c r="I2240" s="151"/>
      <c r="J2240" s="151"/>
      <c r="K2240" s="151"/>
      <c r="L2240" s="153"/>
      <c r="M2240" s="151"/>
      <c r="N2240" s="153"/>
      <c r="O2240" s="151"/>
      <c r="P2240" s="156"/>
    </row>
    <row r="2241" spans="1:16" ht="11.25" customHeight="1" x14ac:dyDescent="0.2">
      <c r="A2241" s="148"/>
      <c r="B2241" s="149"/>
      <c r="C2241" s="150"/>
      <c r="D2241" s="150"/>
      <c r="E2241" s="150"/>
      <c r="F2241" s="150"/>
      <c r="G2241" s="150"/>
      <c r="H2241" s="148"/>
      <c r="I2241" s="151"/>
      <c r="J2241" s="152"/>
      <c r="K2241" s="168"/>
      <c r="L2241" s="153"/>
      <c r="M2241" s="151"/>
      <c r="N2241" s="153"/>
      <c r="O2241" s="151"/>
      <c r="P2241" s="156"/>
    </row>
    <row r="2242" spans="1:16" ht="11.25" customHeight="1" x14ac:dyDescent="0.2">
      <c r="A2242" s="84"/>
      <c r="B2242" s="154"/>
      <c r="C2242" s="155"/>
      <c r="D2242" s="155"/>
      <c r="E2242" s="155"/>
      <c r="F2242" s="155"/>
      <c r="G2242" s="155"/>
      <c r="H2242" s="148"/>
      <c r="I2242" s="151"/>
      <c r="J2242" s="151"/>
      <c r="K2242" s="151"/>
      <c r="L2242" s="153"/>
      <c r="M2242" s="151"/>
      <c r="N2242" s="156"/>
      <c r="O2242" s="151"/>
      <c r="P2242" s="156"/>
    </row>
    <row r="2243" spans="1:16" ht="11.25" customHeight="1" x14ac:dyDescent="0.2">
      <c r="A2243" s="158"/>
      <c r="B2243" s="158"/>
      <c r="C2243" s="85"/>
      <c r="D2243" s="85"/>
      <c r="E2243" s="85"/>
      <c r="F2243" s="85"/>
      <c r="G2243" s="85"/>
      <c r="H2243" s="159"/>
      <c r="I2243" s="160"/>
      <c r="J2243" s="160"/>
      <c r="K2243" s="160"/>
      <c r="L2243" s="161"/>
      <c r="M2243" s="160"/>
      <c r="N2243" s="161"/>
      <c r="O2243" s="160"/>
      <c r="P2243" s="162"/>
    </row>
    <row r="2244" spans="1:16" ht="11.25" customHeight="1" x14ac:dyDescent="0.2">
      <c r="A2244" s="158"/>
      <c r="B2244" s="158"/>
      <c r="C2244" s="85"/>
      <c r="D2244" s="85"/>
      <c r="E2244" s="85"/>
      <c r="F2244" s="85"/>
      <c r="G2244" s="85"/>
      <c r="H2244" s="159"/>
      <c r="I2244" s="164"/>
      <c r="J2244" s="160"/>
      <c r="K2244" s="164"/>
      <c r="L2244" s="161"/>
      <c r="M2244" s="160"/>
      <c r="N2244" s="161"/>
      <c r="O2244" s="160"/>
      <c r="P2244" s="162"/>
    </row>
    <row r="2245" spans="1:16" ht="11.25" customHeight="1" x14ac:dyDescent="0.2">
      <c r="A2245" s="158"/>
      <c r="B2245" s="158"/>
      <c r="C2245" s="85"/>
      <c r="D2245" s="85"/>
      <c r="E2245" s="85"/>
      <c r="F2245" s="85"/>
      <c r="G2245" s="85"/>
      <c r="H2245" s="159"/>
      <c r="I2245" s="164"/>
      <c r="J2245" s="160"/>
      <c r="K2245" s="164"/>
      <c r="L2245" s="161"/>
      <c r="M2245" s="160"/>
      <c r="N2245" s="161"/>
      <c r="O2245" s="160"/>
      <c r="P2245" s="162"/>
    </row>
    <row r="2246" spans="1:16" ht="11.25" customHeight="1" x14ac:dyDescent="0.2">
      <c r="A2246" s="148"/>
      <c r="B2246" s="149"/>
      <c r="C2246" s="155"/>
      <c r="D2246" s="155"/>
      <c r="E2246" s="155"/>
      <c r="F2246" s="155"/>
      <c r="G2246" s="155"/>
      <c r="H2246" s="148"/>
      <c r="I2246" s="151"/>
      <c r="J2246" s="151"/>
      <c r="K2246" s="151"/>
      <c r="L2246" s="153"/>
      <c r="M2246" s="151"/>
      <c r="N2246" s="156"/>
      <c r="O2246" s="151"/>
      <c r="P2246" s="156"/>
    </row>
    <row r="2247" spans="1:16" ht="11.25" customHeight="1" x14ac:dyDescent="0.2">
      <c r="A2247" s="148"/>
      <c r="B2247" s="149"/>
      <c r="C2247" s="150"/>
      <c r="D2247" s="150"/>
      <c r="E2247" s="150"/>
      <c r="F2247" s="150"/>
      <c r="G2247" s="150"/>
      <c r="H2247" s="148"/>
      <c r="I2247" s="151"/>
      <c r="J2247" s="152"/>
      <c r="K2247" s="171"/>
      <c r="L2247" s="167"/>
      <c r="M2247" s="168"/>
      <c r="N2247" s="167"/>
      <c r="O2247" s="151"/>
      <c r="P2247" s="156"/>
    </row>
    <row r="2248" spans="1:16" ht="11.25" customHeight="1" x14ac:dyDescent="0.2">
      <c r="A2248" s="148"/>
      <c r="B2248" s="149"/>
      <c r="C2248" s="155"/>
      <c r="D2248" s="155"/>
      <c r="E2248" s="155"/>
      <c r="F2248" s="155"/>
      <c r="G2248" s="155"/>
      <c r="H2248" s="148"/>
      <c r="I2248" s="151"/>
      <c r="J2248" s="151"/>
      <c r="K2248" s="151"/>
      <c r="L2248" s="153"/>
      <c r="M2248" s="151"/>
      <c r="N2248" s="153"/>
      <c r="O2248" s="151"/>
      <c r="P2248" s="156"/>
    </row>
    <row r="2249" spans="1:16" ht="11.25" customHeight="1" x14ac:dyDescent="0.2">
      <c r="A2249" s="148"/>
      <c r="B2249" s="149"/>
      <c r="C2249" s="150"/>
      <c r="D2249" s="150"/>
      <c r="E2249" s="150"/>
      <c r="F2249" s="150"/>
      <c r="G2249" s="150"/>
      <c r="H2249" s="148"/>
      <c r="I2249" s="151"/>
      <c r="J2249" s="152"/>
      <c r="K2249" s="152"/>
      <c r="L2249" s="167"/>
      <c r="M2249" s="168"/>
      <c r="N2249" s="167"/>
      <c r="O2249" s="151"/>
      <c r="P2249" s="156"/>
    </row>
    <row r="2250" spans="1:16" ht="11.25" customHeight="1" x14ac:dyDescent="0.2">
      <c r="A2250" s="148"/>
      <c r="B2250" s="149"/>
      <c r="C2250" s="155"/>
      <c r="D2250" s="155"/>
      <c r="E2250" s="155"/>
      <c r="F2250" s="155"/>
      <c r="G2250" s="155"/>
      <c r="H2250" s="148"/>
      <c r="I2250" s="151"/>
      <c r="J2250" s="151"/>
      <c r="K2250" s="151"/>
      <c r="L2250" s="153"/>
      <c r="M2250" s="151"/>
      <c r="N2250" s="153"/>
      <c r="O2250" s="151"/>
      <c r="P2250" s="156"/>
    </row>
    <row r="2251" spans="1:16" ht="11.25" customHeight="1" x14ac:dyDescent="0.2">
      <c r="A2251" s="148"/>
      <c r="B2251" s="149"/>
      <c r="C2251" s="150"/>
      <c r="D2251" s="150"/>
      <c r="E2251" s="150"/>
      <c r="F2251" s="150"/>
      <c r="G2251" s="150"/>
      <c r="H2251" s="148"/>
      <c r="I2251" s="151"/>
      <c r="J2251" s="152"/>
      <c r="K2251" s="168"/>
      <c r="L2251" s="153"/>
      <c r="M2251" s="151"/>
      <c r="N2251" s="153"/>
      <c r="O2251" s="151"/>
      <c r="P2251" s="156"/>
    </row>
    <row r="2252" spans="1:16" ht="11.25" customHeight="1" x14ac:dyDescent="0.2">
      <c r="A2252" s="84"/>
      <c r="B2252" s="154"/>
      <c r="C2252" s="155"/>
      <c r="D2252" s="155"/>
      <c r="E2252" s="155"/>
      <c r="F2252" s="155"/>
      <c r="G2252" s="155"/>
      <c r="H2252" s="148"/>
      <c r="I2252" s="151"/>
      <c r="J2252" s="151"/>
      <c r="K2252" s="151"/>
      <c r="L2252" s="153"/>
      <c r="M2252" s="151"/>
      <c r="N2252" s="156"/>
      <c r="O2252" s="151"/>
      <c r="P2252" s="156"/>
    </row>
    <row r="2253" spans="1:16" ht="11.25" customHeight="1" x14ac:dyDescent="0.2">
      <c r="A2253" s="158"/>
      <c r="B2253" s="158"/>
      <c r="C2253" s="85"/>
      <c r="D2253" s="85"/>
      <c r="E2253" s="85"/>
      <c r="F2253" s="85"/>
      <c r="G2253" s="85"/>
      <c r="H2253" s="159"/>
      <c r="I2253" s="160"/>
      <c r="J2253" s="160"/>
      <c r="K2253" s="160"/>
      <c r="L2253" s="161"/>
      <c r="M2253" s="160"/>
      <c r="N2253" s="161"/>
      <c r="O2253" s="160"/>
      <c r="P2253" s="162"/>
    </row>
    <row r="2254" spans="1:16" ht="11.25" customHeight="1" x14ac:dyDescent="0.2">
      <c r="A2254" s="158"/>
      <c r="B2254" s="158"/>
      <c r="C2254" s="85"/>
      <c r="D2254" s="85"/>
      <c r="E2254" s="85"/>
      <c r="F2254" s="85"/>
      <c r="G2254" s="85"/>
      <c r="H2254" s="159"/>
      <c r="I2254" s="164"/>
      <c r="J2254" s="160"/>
      <c r="K2254" s="164"/>
      <c r="L2254" s="161"/>
      <c r="M2254" s="160"/>
      <c r="N2254" s="161"/>
      <c r="O2254" s="160"/>
      <c r="P2254" s="162"/>
    </row>
    <row r="2255" spans="1:16" ht="11.25" customHeight="1" x14ac:dyDescent="0.2">
      <c r="A2255" s="158"/>
      <c r="B2255" s="158"/>
      <c r="C2255" s="85"/>
      <c r="D2255" s="85"/>
      <c r="E2255" s="85"/>
      <c r="F2255" s="85"/>
      <c r="G2255" s="85"/>
      <c r="H2255" s="159"/>
      <c r="I2255" s="164"/>
      <c r="J2255" s="160"/>
      <c r="K2255" s="164"/>
      <c r="L2255" s="161"/>
      <c r="M2255" s="160"/>
      <c r="N2255" s="161"/>
      <c r="O2255" s="160"/>
      <c r="P2255" s="162"/>
    </row>
    <row r="2256" spans="1:16" ht="11.25" customHeight="1" x14ac:dyDescent="0.2">
      <c r="A2256" s="148"/>
      <c r="B2256" s="149"/>
      <c r="C2256" s="155"/>
      <c r="D2256" s="155"/>
      <c r="E2256" s="155"/>
      <c r="F2256" s="155"/>
      <c r="G2256" s="155"/>
      <c r="H2256" s="148"/>
      <c r="I2256" s="151"/>
      <c r="J2256" s="151"/>
      <c r="K2256" s="151"/>
      <c r="L2256" s="153"/>
      <c r="M2256" s="151"/>
      <c r="N2256" s="156"/>
      <c r="O2256" s="151"/>
      <c r="P2256" s="156"/>
    </row>
    <row r="2257" spans="1:16" ht="11.25" customHeight="1" x14ac:dyDescent="0.2">
      <c r="A2257" s="148"/>
      <c r="B2257" s="149"/>
      <c r="C2257" s="150"/>
      <c r="D2257" s="150"/>
      <c r="E2257" s="150"/>
      <c r="F2257" s="150"/>
      <c r="G2257" s="150"/>
      <c r="H2257" s="148"/>
      <c r="I2257" s="151"/>
      <c r="J2257" s="152"/>
      <c r="K2257" s="168"/>
      <c r="L2257" s="153"/>
      <c r="M2257" s="151"/>
      <c r="N2257" s="153"/>
      <c r="O2257" s="151"/>
      <c r="P2257" s="156"/>
    </row>
    <row r="2258" spans="1:16" ht="11.25" customHeight="1" x14ac:dyDescent="0.2">
      <c r="A2258" s="84"/>
      <c r="B2258" s="154"/>
      <c r="C2258" s="155"/>
      <c r="D2258" s="155"/>
      <c r="E2258" s="155"/>
      <c r="F2258" s="155"/>
      <c r="G2258" s="155"/>
      <c r="H2258" s="148"/>
      <c r="I2258" s="151"/>
      <c r="J2258" s="151"/>
      <c r="K2258" s="151"/>
      <c r="L2258" s="153"/>
      <c r="M2258" s="151"/>
      <c r="N2258" s="156"/>
      <c r="O2258" s="151"/>
      <c r="P2258" s="156"/>
    </row>
    <row r="2259" spans="1:16" ht="11.25" customHeight="1" x14ac:dyDescent="0.2">
      <c r="A2259" s="158"/>
      <c r="B2259" s="158"/>
      <c r="C2259" s="85"/>
      <c r="D2259" s="85"/>
      <c r="E2259" s="85"/>
      <c r="F2259" s="85"/>
      <c r="G2259" s="85"/>
      <c r="H2259" s="159"/>
      <c r="I2259" s="160"/>
      <c r="J2259" s="160"/>
      <c r="K2259" s="160"/>
      <c r="L2259" s="161"/>
      <c r="M2259" s="160"/>
      <c r="N2259" s="161"/>
      <c r="O2259" s="160"/>
      <c r="P2259" s="162"/>
    </row>
    <row r="2260" spans="1:16" ht="11.25" customHeight="1" x14ac:dyDescent="0.2">
      <c r="A2260" s="158"/>
      <c r="B2260" s="158"/>
      <c r="C2260" s="85"/>
      <c r="D2260" s="85"/>
      <c r="E2260" s="85"/>
      <c r="F2260" s="85"/>
      <c r="G2260" s="85"/>
      <c r="H2260" s="159"/>
      <c r="I2260" s="164"/>
      <c r="J2260" s="160"/>
      <c r="K2260" s="164"/>
      <c r="L2260" s="161"/>
      <c r="M2260" s="160"/>
      <c r="N2260" s="161"/>
      <c r="O2260" s="160"/>
      <c r="P2260" s="162"/>
    </row>
    <row r="2261" spans="1:16" ht="11.25" customHeight="1" x14ac:dyDescent="0.2">
      <c r="A2261" s="158"/>
      <c r="B2261" s="158"/>
      <c r="C2261" s="85"/>
      <c r="D2261" s="85"/>
      <c r="E2261" s="85"/>
      <c r="F2261" s="85"/>
      <c r="G2261" s="85"/>
      <c r="H2261" s="159"/>
      <c r="I2261" s="164"/>
      <c r="J2261" s="160"/>
      <c r="K2261" s="164"/>
      <c r="L2261" s="161"/>
      <c r="M2261" s="160"/>
      <c r="N2261" s="161"/>
      <c r="O2261" s="160"/>
      <c r="P2261" s="162"/>
    </row>
    <row r="2262" spans="1:16" ht="11.25" customHeight="1" x14ac:dyDescent="0.2">
      <c r="A2262" s="148"/>
      <c r="B2262" s="149"/>
      <c r="C2262" s="155"/>
      <c r="D2262" s="155"/>
      <c r="E2262" s="155"/>
      <c r="F2262" s="155"/>
      <c r="G2262" s="155"/>
      <c r="H2262" s="148"/>
      <c r="I2262" s="151"/>
      <c r="J2262" s="151"/>
      <c r="K2262" s="151"/>
      <c r="L2262" s="153"/>
      <c r="M2262" s="151"/>
      <c r="N2262" s="156"/>
      <c r="O2262" s="151"/>
      <c r="P2262" s="156"/>
    </row>
    <row r="2263" spans="1:16" ht="11.25" customHeight="1" x14ac:dyDescent="0.2">
      <c r="A2263" s="148"/>
      <c r="B2263" s="149"/>
      <c r="C2263" s="150"/>
      <c r="D2263" s="150"/>
      <c r="E2263" s="150"/>
      <c r="F2263" s="150"/>
      <c r="G2263" s="150"/>
      <c r="H2263" s="148"/>
      <c r="I2263" s="151"/>
      <c r="J2263" s="152"/>
      <c r="K2263" s="171"/>
      <c r="L2263" s="167"/>
      <c r="M2263" s="168"/>
      <c r="N2263" s="167"/>
      <c r="O2263" s="151"/>
      <c r="P2263" s="156"/>
    </row>
    <row r="2264" spans="1:16" ht="11.25" customHeight="1" x14ac:dyDescent="0.2">
      <c r="A2264" s="148"/>
      <c r="B2264" s="149"/>
      <c r="C2264" s="155"/>
      <c r="D2264" s="155"/>
      <c r="E2264" s="155"/>
      <c r="F2264" s="155"/>
      <c r="G2264" s="155"/>
      <c r="H2264" s="148"/>
      <c r="I2264" s="151"/>
      <c r="J2264" s="151"/>
      <c r="K2264" s="151"/>
      <c r="L2264" s="153"/>
      <c r="M2264" s="151"/>
      <c r="N2264" s="153"/>
      <c r="O2264" s="151"/>
      <c r="P2264" s="156"/>
    </row>
    <row r="2265" spans="1:16" ht="11.25" customHeight="1" x14ac:dyDescent="0.2">
      <c r="A2265" s="148"/>
      <c r="B2265" s="149"/>
      <c r="C2265" s="150"/>
      <c r="D2265" s="150"/>
      <c r="E2265" s="150"/>
      <c r="F2265" s="150"/>
      <c r="G2265" s="150"/>
      <c r="H2265" s="148"/>
      <c r="I2265" s="151"/>
      <c r="J2265" s="152"/>
      <c r="K2265" s="152"/>
      <c r="L2265" s="167"/>
      <c r="M2265" s="168"/>
      <c r="N2265" s="167"/>
      <c r="O2265" s="151"/>
      <c r="P2265" s="156"/>
    </row>
    <row r="2266" spans="1:16" ht="11.25" customHeight="1" x14ac:dyDescent="0.2">
      <c r="A2266" s="148"/>
      <c r="B2266" s="149"/>
      <c r="C2266" s="155"/>
      <c r="D2266" s="155"/>
      <c r="E2266" s="155"/>
      <c r="F2266" s="155"/>
      <c r="G2266" s="155"/>
      <c r="H2266" s="148"/>
      <c r="I2266" s="151"/>
      <c r="J2266" s="151"/>
      <c r="K2266" s="151"/>
      <c r="L2266" s="153"/>
      <c r="M2266" s="151"/>
      <c r="N2266" s="153"/>
      <c r="O2266" s="151"/>
      <c r="P2266" s="156"/>
    </row>
    <row r="2267" spans="1:16" ht="11.25" customHeight="1" x14ac:dyDescent="0.2">
      <c r="A2267" s="148"/>
      <c r="B2267" s="149"/>
      <c r="C2267" s="150"/>
      <c r="D2267" s="150"/>
      <c r="E2267" s="150"/>
      <c r="F2267" s="150"/>
      <c r="G2267" s="150"/>
      <c r="H2267" s="148"/>
      <c r="I2267" s="151"/>
      <c r="J2267" s="152"/>
      <c r="K2267" s="152"/>
      <c r="L2267" s="167"/>
      <c r="M2267" s="168"/>
      <c r="N2267" s="167"/>
      <c r="O2267" s="151"/>
      <c r="P2267" s="156"/>
    </row>
    <row r="2268" spans="1:16" ht="11.25" customHeight="1" x14ac:dyDescent="0.2">
      <c r="A2268" s="148"/>
      <c r="B2268" s="149"/>
      <c r="C2268" s="155"/>
      <c r="D2268" s="155"/>
      <c r="E2268" s="155"/>
      <c r="F2268" s="155"/>
      <c r="G2268" s="155"/>
      <c r="H2268" s="148"/>
      <c r="I2268" s="151"/>
      <c r="J2268" s="151"/>
      <c r="K2268" s="151"/>
      <c r="L2268" s="153"/>
      <c r="M2268" s="151"/>
      <c r="N2268" s="153"/>
      <c r="O2268" s="151"/>
      <c r="P2268" s="156"/>
    </row>
    <row r="2269" spans="1:16" ht="11.25" customHeight="1" x14ac:dyDescent="0.2">
      <c r="A2269" s="148"/>
      <c r="B2269" s="149"/>
      <c r="C2269" s="150"/>
      <c r="D2269" s="150"/>
      <c r="E2269" s="150"/>
      <c r="F2269" s="150"/>
      <c r="G2269" s="150"/>
      <c r="H2269" s="148"/>
      <c r="I2269" s="151"/>
      <c r="J2269" s="152"/>
      <c r="K2269" s="152"/>
      <c r="L2269" s="167"/>
      <c r="M2269" s="168"/>
      <c r="N2269" s="167"/>
      <c r="O2269" s="151"/>
      <c r="P2269" s="156"/>
    </row>
    <row r="2270" spans="1:16" ht="11.25" customHeight="1" x14ac:dyDescent="0.2">
      <c r="A2270" s="148"/>
      <c r="B2270" s="149"/>
      <c r="C2270" s="155"/>
      <c r="D2270" s="155"/>
      <c r="E2270" s="155"/>
      <c r="F2270" s="155"/>
      <c r="G2270" s="155"/>
      <c r="H2270" s="148"/>
      <c r="I2270" s="151"/>
      <c r="J2270" s="151"/>
      <c r="K2270" s="151"/>
      <c r="L2270" s="153"/>
      <c r="M2270" s="151"/>
      <c r="N2270" s="153"/>
      <c r="O2270" s="151"/>
      <c r="P2270" s="156"/>
    </row>
    <row r="2271" spans="1:16" ht="11.25" customHeight="1" x14ac:dyDescent="0.2">
      <c r="A2271" s="148"/>
      <c r="B2271" s="149"/>
      <c r="C2271" s="150"/>
      <c r="D2271" s="150"/>
      <c r="E2271" s="150"/>
      <c r="F2271" s="150"/>
      <c r="G2271" s="150"/>
      <c r="H2271" s="148"/>
      <c r="I2271" s="151"/>
      <c r="J2271" s="152"/>
      <c r="K2271" s="168"/>
      <c r="L2271" s="153"/>
      <c r="M2271" s="151"/>
      <c r="N2271" s="153"/>
      <c r="O2271" s="151"/>
      <c r="P2271" s="156"/>
    </row>
    <row r="2272" spans="1:16" ht="11.25" customHeight="1" x14ac:dyDescent="0.2">
      <c r="A2272" s="84"/>
      <c r="B2272" s="154"/>
      <c r="C2272" s="155"/>
      <c r="D2272" s="155"/>
      <c r="E2272" s="155"/>
      <c r="F2272" s="155"/>
      <c r="G2272" s="155"/>
      <c r="H2272" s="148"/>
      <c r="I2272" s="151"/>
      <c r="J2272" s="151"/>
      <c r="K2272" s="151"/>
      <c r="L2272" s="153"/>
      <c r="M2272" s="151"/>
      <c r="N2272" s="156"/>
      <c r="O2272" s="151"/>
      <c r="P2272" s="156"/>
    </row>
    <row r="2273" spans="1:16" ht="11.25" customHeight="1" x14ac:dyDescent="0.2">
      <c r="A2273" s="158"/>
      <c r="B2273" s="158"/>
      <c r="C2273" s="85"/>
      <c r="D2273" s="85"/>
      <c r="E2273" s="85"/>
      <c r="F2273" s="85"/>
      <c r="G2273" s="85"/>
      <c r="H2273" s="159"/>
      <c r="I2273" s="160"/>
      <c r="J2273" s="160"/>
      <c r="K2273" s="160"/>
      <c r="L2273" s="161"/>
      <c r="M2273" s="160"/>
      <c r="N2273" s="161"/>
      <c r="O2273" s="160"/>
      <c r="P2273" s="162"/>
    </row>
    <row r="2274" spans="1:16" ht="11.25" customHeight="1" x14ac:dyDescent="0.2">
      <c r="A2274" s="158"/>
      <c r="B2274" s="158"/>
      <c r="C2274" s="85"/>
      <c r="D2274" s="85"/>
      <c r="E2274" s="85"/>
      <c r="F2274" s="85"/>
      <c r="G2274" s="85"/>
      <c r="H2274" s="159"/>
      <c r="I2274" s="164"/>
      <c r="J2274" s="160"/>
      <c r="K2274" s="164"/>
      <c r="L2274" s="161"/>
      <c r="M2274" s="160"/>
      <c r="N2274" s="161"/>
      <c r="O2274" s="160"/>
      <c r="P2274" s="162"/>
    </row>
    <row r="2275" spans="1:16" ht="11.25" customHeight="1" x14ac:dyDescent="0.2">
      <c r="A2275" s="158"/>
      <c r="B2275" s="158"/>
      <c r="C2275" s="85"/>
      <c r="D2275" s="85"/>
      <c r="E2275" s="85"/>
      <c r="F2275" s="85"/>
      <c r="G2275" s="85"/>
      <c r="H2275" s="159"/>
      <c r="I2275" s="164"/>
      <c r="J2275" s="160"/>
      <c r="K2275" s="164"/>
      <c r="L2275" s="161"/>
      <c r="M2275" s="160"/>
      <c r="N2275" s="161"/>
      <c r="O2275" s="160"/>
      <c r="P2275" s="162"/>
    </row>
    <row r="2276" spans="1:16" ht="11.25" customHeight="1" x14ac:dyDescent="0.2">
      <c r="A2276" s="148"/>
      <c r="B2276" s="149"/>
      <c r="C2276" s="155"/>
      <c r="D2276" s="155"/>
      <c r="E2276" s="155"/>
      <c r="F2276" s="155"/>
      <c r="G2276" s="155"/>
      <c r="H2276" s="148"/>
      <c r="I2276" s="151"/>
      <c r="J2276" s="151"/>
      <c r="K2276" s="151"/>
      <c r="L2276" s="153"/>
      <c r="M2276" s="151"/>
      <c r="N2276" s="156"/>
      <c r="O2276" s="151"/>
      <c r="P2276" s="156"/>
    </row>
    <row r="2277" spans="1:16" ht="11.25" customHeight="1" x14ac:dyDescent="0.2">
      <c r="A2277" s="148"/>
      <c r="B2277" s="149"/>
      <c r="C2277" s="150"/>
      <c r="D2277" s="150"/>
      <c r="E2277" s="150"/>
      <c r="F2277" s="150"/>
      <c r="G2277" s="150"/>
      <c r="H2277" s="148"/>
      <c r="I2277" s="151"/>
      <c r="J2277" s="152"/>
      <c r="K2277" s="152"/>
      <c r="L2277" s="156"/>
      <c r="M2277" s="168"/>
      <c r="N2277" s="156"/>
      <c r="O2277" s="151"/>
      <c r="P2277" s="156"/>
    </row>
    <row r="2278" spans="1:16" ht="11.25" customHeight="1" x14ac:dyDescent="0.2">
      <c r="A2278" s="148"/>
      <c r="B2278" s="149"/>
      <c r="C2278" s="155"/>
      <c r="D2278" s="155"/>
      <c r="E2278" s="155"/>
      <c r="F2278" s="155"/>
      <c r="G2278" s="155"/>
      <c r="H2278" s="148"/>
      <c r="I2278" s="151"/>
      <c r="J2278" s="151"/>
      <c r="K2278" s="151"/>
      <c r="L2278" s="153"/>
      <c r="M2278" s="151"/>
      <c r="N2278" s="153"/>
      <c r="O2278" s="151"/>
      <c r="P2278" s="156"/>
    </row>
    <row r="2279" spans="1:16" ht="11.25" customHeight="1" x14ac:dyDescent="0.2">
      <c r="A2279" s="148"/>
      <c r="B2279" s="149"/>
      <c r="C2279" s="172"/>
      <c r="D2279" s="172"/>
      <c r="E2279" s="172"/>
      <c r="F2279" s="172"/>
      <c r="G2279" s="172"/>
      <c r="H2279" s="148"/>
      <c r="I2279" s="151"/>
      <c r="J2279" s="152"/>
      <c r="K2279" s="152"/>
      <c r="L2279" s="156"/>
      <c r="M2279" s="168"/>
      <c r="N2279" s="156"/>
      <c r="O2279" s="151"/>
      <c r="P2279" s="156"/>
    </row>
    <row r="2280" spans="1:16" ht="11.25" customHeight="1" x14ac:dyDescent="0.2">
      <c r="A2280" s="148"/>
      <c r="B2280" s="149"/>
      <c r="C2280" s="173"/>
      <c r="D2280" s="173"/>
      <c r="E2280" s="173"/>
      <c r="F2280" s="173"/>
      <c r="G2280" s="173"/>
      <c r="H2280" s="148"/>
      <c r="I2280" s="151"/>
      <c r="J2280" s="151"/>
      <c r="K2280" s="151"/>
      <c r="L2280" s="153"/>
      <c r="M2280" s="151"/>
      <c r="N2280" s="153"/>
      <c r="O2280" s="151"/>
      <c r="P2280" s="156"/>
    </row>
    <row r="2281" spans="1:16" ht="11.25" customHeight="1" x14ac:dyDescent="0.2">
      <c r="A2281" s="148"/>
      <c r="B2281" s="149"/>
      <c r="C2281" s="150"/>
      <c r="D2281" s="150"/>
      <c r="E2281" s="150"/>
      <c r="F2281" s="150"/>
      <c r="G2281" s="150"/>
      <c r="H2281" s="148"/>
      <c r="I2281" s="151"/>
      <c r="J2281" s="152"/>
      <c r="K2281" s="152"/>
      <c r="L2281" s="156"/>
      <c r="M2281" s="168"/>
      <c r="N2281" s="156"/>
      <c r="O2281" s="151"/>
      <c r="P2281" s="156"/>
    </row>
    <row r="2282" spans="1:16" ht="11.25" customHeight="1" x14ac:dyDescent="0.2">
      <c r="A2282" s="148"/>
      <c r="B2282" s="149"/>
      <c r="C2282" s="155"/>
      <c r="D2282" s="155"/>
      <c r="E2282" s="155"/>
      <c r="F2282" s="155"/>
      <c r="G2282" s="155"/>
      <c r="H2282" s="148"/>
      <c r="I2282" s="151"/>
      <c r="J2282" s="151"/>
      <c r="K2282" s="151"/>
      <c r="L2282" s="153"/>
      <c r="M2282" s="151"/>
      <c r="N2282" s="153"/>
      <c r="O2282" s="151"/>
      <c r="P2282" s="156"/>
    </row>
    <row r="2283" spans="1:16" ht="11.25" customHeight="1" x14ac:dyDescent="0.2">
      <c r="A2283" s="148"/>
      <c r="B2283" s="149"/>
      <c r="C2283" s="150"/>
      <c r="D2283" s="150"/>
      <c r="E2283" s="150"/>
      <c r="F2283" s="150"/>
      <c r="G2283" s="150"/>
      <c r="H2283" s="148"/>
      <c r="I2283" s="151"/>
      <c r="J2283" s="152"/>
      <c r="K2283" s="175"/>
      <c r="L2283" s="167"/>
      <c r="M2283" s="168"/>
      <c r="N2283" s="167"/>
      <c r="O2283" s="151"/>
      <c r="P2283" s="156"/>
    </row>
    <row r="2284" spans="1:16" ht="11.25" customHeight="1" x14ac:dyDescent="0.2">
      <c r="A2284" s="148"/>
      <c r="B2284" s="149"/>
      <c r="C2284" s="155"/>
      <c r="D2284" s="155"/>
      <c r="E2284" s="155"/>
      <c r="F2284" s="155"/>
      <c r="G2284" s="155"/>
      <c r="H2284" s="148"/>
      <c r="I2284" s="151"/>
      <c r="J2284" s="151"/>
      <c r="K2284" s="151"/>
      <c r="L2284" s="153"/>
      <c r="M2284" s="151"/>
      <c r="N2284" s="153"/>
      <c r="O2284" s="151"/>
      <c r="P2284" s="156"/>
    </row>
    <row r="2285" spans="1:16" ht="11.25" customHeight="1" x14ac:dyDescent="0.2">
      <c r="A2285" s="148"/>
      <c r="B2285" s="149"/>
      <c r="C2285" s="150"/>
      <c r="D2285" s="150"/>
      <c r="E2285" s="150"/>
      <c r="F2285" s="150"/>
      <c r="G2285" s="150"/>
      <c r="H2285" s="148"/>
      <c r="I2285" s="151"/>
      <c r="J2285" s="152"/>
      <c r="K2285" s="152"/>
      <c r="L2285" s="167"/>
      <c r="M2285" s="168"/>
      <c r="N2285" s="167"/>
      <c r="O2285" s="151"/>
      <c r="P2285" s="156"/>
    </row>
    <row r="2286" spans="1:16" ht="11.25" customHeight="1" x14ac:dyDescent="0.2">
      <c r="A2286" s="148"/>
      <c r="B2286" s="149"/>
      <c r="C2286" s="155"/>
      <c r="D2286" s="155"/>
      <c r="E2286" s="155"/>
      <c r="F2286" s="155"/>
      <c r="G2286" s="155"/>
      <c r="H2286" s="148"/>
      <c r="I2286" s="151"/>
      <c r="J2286" s="151"/>
      <c r="K2286" s="151"/>
      <c r="L2286" s="153"/>
      <c r="M2286" s="151"/>
      <c r="N2286" s="153"/>
      <c r="O2286" s="151"/>
      <c r="P2286" s="156"/>
    </row>
    <row r="2287" spans="1:16" ht="11.25" customHeight="1" x14ac:dyDescent="0.2">
      <c r="A2287" s="148"/>
      <c r="B2287" s="179"/>
      <c r="C2287" s="179"/>
      <c r="D2287" s="179"/>
      <c r="E2287" s="179"/>
      <c r="F2287" s="151"/>
      <c r="G2287" s="151"/>
      <c r="H2287" s="151"/>
      <c r="I2287" s="151"/>
      <c r="J2287" s="153"/>
      <c r="K2287" s="151"/>
      <c r="L2287" s="151"/>
      <c r="M2287" s="151"/>
      <c r="N2287" s="153"/>
      <c r="O2287" s="180"/>
      <c r="P2287" s="156"/>
    </row>
    <row r="2288" spans="1:16" ht="11.25" customHeight="1" x14ac:dyDescent="0.2">
      <c r="A2288" s="148"/>
      <c r="B2288" s="149"/>
      <c r="C2288" s="150"/>
      <c r="D2288" s="150"/>
      <c r="E2288" s="150"/>
      <c r="F2288" s="150"/>
      <c r="G2288" s="150"/>
      <c r="H2288" s="148"/>
      <c r="I2288" s="151"/>
      <c r="J2288" s="152"/>
      <c r="K2288" s="168"/>
      <c r="L2288" s="153"/>
      <c r="M2288" s="151"/>
      <c r="N2288" s="153"/>
      <c r="O2288" s="151"/>
      <c r="P2288" s="156"/>
    </row>
    <row r="2289" spans="1:16" ht="11.25" customHeight="1" x14ac:dyDescent="0.2">
      <c r="A2289" s="84"/>
      <c r="B2289" s="154"/>
      <c r="C2289" s="155"/>
      <c r="D2289" s="155"/>
      <c r="E2289" s="155"/>
      <c r="F2289" s="155"/>
      <c r="G2289" s="155"/>
      <c r="H2289" s="148"/>
      <c r="I2289" s="151"/>
      <c r="J2289" s="151"/>
      <c r="K2289" s="151"/>
      <c r="L2289" s="153"/>
      <c r="M2289" s="151"/>
      <c r="N2289" s="156"/>
      <c r="O2289" s="151"/>
      <c r="P2289" s="156"/>
    </row>
    <row r="2290" spans="1:16" ht="11.25" customHeight="1" x14ac:dyDescent="0.2">
      <c r="A2290" s="158"/>
      <c r="B2290" s="158"/>
      <c r="C2290" s="85"/>
      <c r="D2290" s="85"/>
      <c r="E2290" s="85"/>
      <c r="F2290" s="85"/>
      <c r="G2290" s="85"/>
      <c r="H2290" s="159"/>
      <c r="I2290" s="160"/>
      <c r="J2290" s="160"/>
      <c r="K2290" s="160"/>
      <c r="L2290" s="161"/>
      <c r="M2290" s="160"/>
      <c r="N2290" s="161"/>
      <c r="O2290" s="160"/>
      <c r="P2290" s="162"/>
    </row>
    <row r="2291" spans="1:16" ht="11.25" customHeight="1" x14ac:dyDescent="0.2">
      <c r="A2291" s="158"/>
      <c r="B2291" s="158"/>
      <c r="C2291" s="85"/>
      <c r="D2291" s="85"/>
      <c r="E2291" s="85"/>
      <c r="F2291" s="85"/>
      <c r="G2291" s="85"/>
      <c r="H2291" s="159"/>
      <c r="I2291" s="164"/>
      <c r="J2291" s="160"/>
      <c r="K2291" s="164"/>
      <c r="L2291" s="161"/>
      <c r="M2291" s="160"/>
      <c r="N2291" s="161"/>
      <c r="O2291" s="160"/>
      <c r="P2291" s="162"/>
    </row>
    <row r="2292" spans="1:16" ht="11.25" customHeight="1" x14ac:dyDescent="0.2">
      <c r="A2292" s="158"/>
      <c r="B2292" s="158"/>
      <c r="C2292" s="85"/>
      <c r="D2292" s="85"/>
      <c r="E2292" s="85"/>
      <c r="F2292" s="85"/>
      <c r="G2292" s="85"/>
      <c r="H2292" s="159"/>
      <c r="I2292" s="164"/>
      <c r="J2292" s="160"/>
      <c r="K2292" s="164"/>
      <c r="L2292" s="161"/>
      <c r="M2292" s="160"/>
      <c r="N2292" s="161"/>
      <c r="O2292" s="160"/>
      <c r="P2292" s="162"/>
    </row>
    <row r="2293" spans="1:16" ht="11.25" customHeight="1" x14ac:dyDescent="0.2">
      <c r="A2293" s="148"/>
      <c r="B2293" s="149"/>
      <c r="C2293" s="155"/>
      <c r="D2293" s="155"/>
      <c r="E2293" s="155"/>
      <c r="F2293" s="155"/>
      <c r="G2293" s="155"/>
      <c r="H2293" s="148"/>
      <c r="I2293" s="151"/>
      <c r="J2293" s="151"/>
      <c r="K2293" s="151"/>
      <c r="L2293" s="153"/>
      <c r="M2293" s="151"/>
      <c r="N2293" s="156"/>
      <c r="O2293" s="151"/>
      <c r="P2293" s="156"/>
    </row>
    <row r="2294" spans="1:16" ht="11.25" customHeight="1" x14ac:dyDescent="0.2">
      <c r="A2294" s="148"/>
      <c r="B2294" s="149"/>
      <c r="C2294" s="150"/>
      <c r="D2294" s="150"/>
      <c r="E2294" s="150"/>
      <c r="F2294" s="150"/>
      <c r="G2294" s="150"/>
      <c r="H2294" s="148"/>
      <c r="I2294" s="151"/>
      <c r="J2294" s="152"/>
      <c r="K2294" s="152"/>
      <c r="L2294" s="156"/>
      <c r="M2294" s="168"/>
      <c r="N2294" s="156"/>
      <c r="O2294" s="151"/>
      <c r="P2294" s="156"/>
    </row>
    <row r="2295" spans="1:16" ht="11.25" customHeight="1" x14ac:dyDescent="0.2">
      <c r="A2295" s="84"/>
      <c r="B2295" s="181"/>
      <c r="C2295" s="155"/>
      <c r="D2295" s="155"/>
      <c r="E2295" s="155"/>
      <c r="F2295" s="155"/>
      <c r="G2295" s="155"/>
      <c r="H2295" s="155"/>
      <c r="I2295" s="155"/>
      <c r="J2295" s="155"/>
      <c r="K2295" s="155"/>
      <c r="L2295" s="155"/>
      <c r="M2295" s="155"/>
      <c r="N2295" s="155"/>
      <c r="O2295" s="155"/>
      <c r="P2295" s="162"/>
    </row>
    <row r="2296" spans="1:16" ht="11.25" customHeight="1" x14ac:dyDescent="0.2">
      <c r="A2296" s="84"/>
      <c r="B2296" s="154"/>
      <c r="C2296" s="89"/>
      <c r="D2296" s="89"/>
      <c r="E2296" s="89"/>
      <c r="F2296" s="89"/>
      <c r="G2296" s="89"/>
      <c r="H2296" s="89"/>
      <c r="I2296" s="89"/>
      <c r="J2296" s="89"/>
      <c r="K2296" s="89"/>
      <c r="L2296" s="89"/>
      <c r="M2296" s="89"/>
      <c r="N2296" s="89"/>
      <c r="O2296" s="89"/>
      <c r="P2296" s="162"/>
    </row>
    <row r="2297" spans="1:16" ht="11.25" customHeight="1" x14ac:dyDescent="0.2">
      <c r="A2297" s="84"/>
      <c r="B2297" s="154"/>
      <c r="C2297" s="89"/>
      <c r="D2297" s="89"/>
      <c r="E2297" s="89"/>
      <c r="F2297" s="89"/>
      <c r="G2297" s="89"/>
      <c r="H2297" s="89"/>
      <c r="I2297" s="89"/>
      <c r="J2297" s="89"/>
      <c r="K2297" s="89"/>
      <c r="L2297" s="89"/>
      <c r="M2297" s="89"/>
      <c r="N2297" s="89"/>
      <c r="O2297" s="89"/>
      <c r="P2297" s="162"/>
    </row>
    <row r="2298" spans="1:16" ht="11.25" customHeight="1" x14ac:dyDescent="0.2">
      <c r="A2298" s="84"/>
      <c r="B2298" s="154"/>
      <c r="C2298" s="89"/>
      <c r="D2298" s="89"/>
      <c r="E2298" s="89"/>
      <c r="F2298" s="89"/>
      <c r="G2298" s="89"/>
      <c r="H2298" s="89"/>
      <c r="I2298" s="89"/>
      <c r="J2298" s="89"/>
      <c r="K2298" s="89"/>
      <c r="L2298" s="89"/>
      <c r="M2298" s="89"/>
      <c r="N2298" s="89"/>
      <c r="O2298" s="89"/>
      <c r="P2298" s="162"/>
    </row>
    <row r="2299" spans="1:16" ht="11.25" customHeight="1" x14ac:dyDescent="0.2">
      <c r="A2299" s="84"/>
      <c r="B2299" s="154"/>
      <c r="C2299" s="89"/>
      <c r="D2299" s="89"/>
      <c r="E2299" s="89"/>
      <c r="F2299" s="89"/>
      <c r="G2299" s="89"/>
      <c r="H2299" s="89"/>
      <c r="I2299" s="89"/>
      <c r="J2299" s="89"/>
      <c r="K2299" s="89"/>
      <c r="L2299" s="89"/>
      <c r="M2299" s="89"/>
      <c r="N2299" s="89"/>
      <c r="O2299" s="89"/>
      <c r="P2299" s="162"/>
    </row>
    <row r="2300" spans="1:16" ht="11.25" customHeight="1" x14ac:dyDescent="0.2">
      <c r="A2300" s="84"/>
      <c r="B2300" s="154"/>
      <c r="C2300" s="89"/>
      <c r="D2300" s="89"/>
      <c r="E2300" s="89"/>
      <c r="F2300" s="89"/>
      <c r="G2300" s="89"/>
      <c r="H2300" s="89"/>
      <c r="I2300" s="89"/>
      <c r="J2300" s="89"/>
      <c r="K2300" s="89"/>
      <c r="L2300" s="89"/>
      <c r="M2300" s="89"/>
      <c r="N2300" s="89"/>
      <c r="O2300" s="89"/>
      <c r="P2300" s="162"/>
    </row>
    <row r="2301" spans="1:16" ht="11.25" customHeight="1" x14ac:dyDescent="0.2">
      <c r="A2301" s="84"/>
      <c r="B2301" s="154"/>
      <c r="C2301" s="89"/>
      <c r="D2301" s="89"/>
      <c r="E2301" s="89"/>
      <c r="F2301" s="89"/>
      <c r="G2301" s="89"/>
      <c r="H2301" s="89"/>
      <c r="I2301" s="89"/>
      <c r="J2301" s="89"/>
      <c r="K2301" s="89"/>
      <c r="L2301" s="89"/>
      <c r="M2301" s="89"/>
      <c r="N2301" s="89"/>
      <c r="O2301" s="89"/>
      <c r="P2301" s="162"/>
    </row>
    <row r="2302" spans="1:16" ht="11.25" customHeight="1" x14ac:dyDescent="0.2">
      <c r="A2302" s="84"/>
      <c r="B2302" s="181"/>
      <c r="C2302" s="155"/>
      <c r="D2302" s="155"/>
      <c r="E2302" s="155"/>
      <c r="F2302" s="155"/>
      <c r="G2302" s="155"/>
      <c r="H2302" s="155"/>
      <c r="I2302" s="155"/>
      <c r="J2302" s="155"/>
      <c r="K2302" s="155"/>
      <c r="L2302" s="155"/>
      <c r="M2302" s="155"/>
      <c r="N2302" s="155"/>
      <c r="O2302" s="155"/>
      <c r="P2302" s="162"/>
    </row>
    <row r="2303" spans="1:16" ht="11.25" customHeight="1" x14ac:dyDescent="0.2">
      <c r="A2303" s="84"/>
      <c r="B2303" s="181"/>
      <c r="C2303" s="155"/>
      <c r="D2303" s="155"/>
      <c r="E2303" s="155"/>
      <c r="F2303" s="155"/>
      <c r="G2303" s="155"/>
      <c r="H2303" s="155"/>
      <c r="I2303" s="155"/>
      <c r="J2303" s="155"/>
      <c r="K2303" s="155"/>
      <c r="L2303" s="155"/>
      <c r="M2303" s="155"/>
      <c r="N2303" s="155"/>
      <c r="O2303" s="155"/>
      <c r="P2303" s="292"/>
    </row>
    <row r="2304" spans="1:16" ht="11.25" customHeight="1" x14ac:dyDescent="0.25">
      <c r="A2304" s="80"/>
      <c r="B2304" s="81"/>
      <c r="C2304" s="85"/>
      <c r="D2304" s="85"/>
      <c r="E2304" s="85"/>
      <c r="F2304" s="85"/>
      <c r="G2304" s="85"/>
      <c r="H2304" s="85"/>
      <c r="I2304" s="85"/>
      <c r="J2304" s="85"/>
      <c r="K2304" s="85"/>
      <c r="L2304" s="85"/>
      <c r="M2304" s="85"/>
      <c r="N2304" s="85"/>
      <c r="O2304" s="82"/>
      <c r="P2304" s="293"/>
    </row>
    <row r="2305" spans="1:16" ht="11.25" customHeight="1" x14ac:dyDescent="0.2">
      <c r="A2305" s="78"/>
      <c r="B2305" s="81"/>
      <c r="C2305" s="86"/>
      <c r="D2305" s="86"/>
      <c r="E2305" s="86"/>
      <c r="F2305" s="86"/>
      <c r="G2305" s="86"/>
      <c r="H2305" s="86"/>
      <c r="I2305" s="86"/>
      <c r="J2305" s="86"/>
      <c r="K2305" s="86"/>
      <c r="L2305" s="86"/>
      <c r="M2305" s="86"/>
      <c r="N2305" s="86"/>
      <c r="O2305" s="83"/>
      <c r="P2305" s="294"/>
    </row>
    <row r="2306" spans="1:16" ht="11.25" customHeight="1" x14ac:dyDescent="0.25">
      <c r="A2306" s="80"/>
      <c r="B2306" s="81"/>
      <c r="C2306" s="147"/>
      <c r="D2306" s="147"/>
      <c r="E2306" s="147"/>
      <c r="F2306" s="147"/>
      <c r="G2306" s="147"/>
      <c r="H2306" s="147"/>
      <c r="I2306" s="147"/>
      <c r="J2306" s="147"/>
      <c r="K2306" s="147"/>
      <c r="L2306" s="147"/>
      <c r="M2306" s="147"/>
      <c r="N2306" s="147"/>
      <c r="O2306" s="82"/>
      <c r="P2306" s="293"/>
    </row>
    <row r="2307" spans="1:16" ht="11.25" customHeight="1" x14ac:dyDescent="0.2">
      <c r="A2307" s="78"/>
      <c r="B2307" s="83"/>
      <c r="C2307" s="86"/>
      <c r="D2307" s="86"/>
      <c r="E2307" s="86"/>
      <c r="F2307" s="86"/>
      <c r="G2307" s="86"/>
      <c r="H2307" s="86"/>
      <c r="I2307" s="86"/>
      <c r="J2307" s="86"/>
      <c r="K2307" s="86"/>
      <c r="L2307" s="86"/>
      <c r="M2307" s="86"/>
      <c r="N2307" s="86"/>
      <c r="O2307" s="83"/>
      <c r="P2307" s="294"/>
    </row>
    <row r="2308" spans="1:16" ht="11.25" customHeight="1" x14ac:dyDescent="0.25">
      <c r="A2308" s="84"/>
      <c r="B2308" s="184"/>
      <c r="C2308" s="95"/>
      <c r="D2308" s="94"/>
      <c r="E2308" s="142"/>
      <c r="F2308" s="143"/>
      <c r="G2308" s="143"/>
      <c r="H2308" s="143"/>
      <c r="I2308" s="143"/>
      <c r="J2308" s="94"/>
      <c r="K2308" s="184"/>
      <c r="L2308" s="184"/>
      <c r="M2308" s="184"/>
      <c r="N2308" s="184"/>
      <c r="O2308" s="84"/>
      <c r="P2308" s="295"/>
    </row>
    <row r="2309" spans="1:16" ht="11.25" customHeight="1" x14ac:dyDescent="0.2">
      <c r="A2309" s="87"/>
      <c r="B2309" s="88"/>
      <c r="C2309" s="88"/>
      <c r="D2309" s="88"/>
      <c r="E2309" s="88"/>
      <c r="F2309" s="88"/>
      <c r="G2309" s="88"/>
      <c r="H2309" s="88"/>
      <c r="I2309" s="88"/>
      <c r="J2309" s="88"/>
      <c r="K2309" s="88"/>
      <c r="L2309" s="88"/>
      <c r="M2309" s="88"/>
      <c r="N2309" s="88"/>
      <c r="O2309" s="88"/>
      <c r="P2309" s="296"/>
    </row>
    <row r="2310" spans="1:16" ht="11.25" customHeight="1" x14ac:dyDescent="0.2">
      <c r="A2310" s="89"/>
      <c r="B2310" s="89"/>
      <c r="C2310" s="89"/>
      <c r="D2310" s="89"/>
      <c r="E2310" s="89"/>
      <c r="F2310" s="89"/>
      <c r="G2310" s="89"/>
      <c r="H2310" s="89"/>
      <c r="I2310" s="89"/>
      <c r="J2310" s="89"/>
      <c r="K2310" s="89"/>
      <c r="L2310" s="89"/>
      <c r="M2310" s="89"/>
      <c r="N2310" s="89"/>
      <c r="O2310" s="89"/>
      <c r="P2310" s="155"/>
    </row>
    <row r="2311" spans="1:16" ht="11.25" customHeight="1" x14ac:dyDescent="0.2">
      <c r="A2311" s="89"/>
      <c r="B2311" s="89"/>
      <c r="C2311" s="89"/>
      <c r="D2311" s="89"/>
      <c r="E2311" s="89"/>
      <c r="F2311" s="89"/>
      <c r="G2311" s="89"/>
      <c r="H2311" s="89"/>
      <c r="I2311" s="89"/>
      <c r="J2311" s="89"/>
      <c r="K2311" s="89"/>
      <c r="L2311" s="89"/>
      <c r="M2311" s="89"/>
      <c r="N2311" s="89"/>
      <c r="O2311" s="89"/>
      <c r="P2311" s="155"/>
    </row>
    <row r="2312" spans="1:16" ht="11.25" customHeight="1" x14ac:dyDescent="0.2">
      <c r="A2312" s="84"/>
      <c r="B2312" s="84"/>
      <c r="C2312" s="84"/>
      <c r="D2312" s="84"/>
      <c r="E2312" s="84"/>
      <c r="F2312" s="84"/>
      <c r="G2312" s="84"/>
      <c r="H2312" s="84"/>
      <c r="I2312" s="84"/>
      <c r="J2312" s="84"/>
      <c r="K2312" s="84"/>
      <c r="L2312" s="84"/>
      <c r="M2312" s="84"/>
      <c r="N2312" s="84"/>
      <c r="O2312" s="84"/>
      <c r="P2312" s="295"/>
    </row>
    <row r="2313" spans="1:16" ht="11.25" customHeight="1" x14ac:dyDescent="0.25">
      <c r="A2313" s="84"/>
      <c r="B2313" s="82"/>
      <c r="C2313" s="82"/>
      <c r="D2313" s="82"/>
      <c r="E2313" s="82"/>
      <c r="F2313" s="82"/>
      <c r="G2313" s="82"/>
      <c r="H2313" s="82"/>
      <c r="I2313" s="82"/>
      <c r="J2313" s="82"/>
      <c r="K2313" s="82"/>
      <c r="L2313" s="82"/>
      <c r="M2313" s="82"/>
      <c r="N2313" s="82"/>
      <c r="O2313" s="82"/>
      <c r="P2313" s="293"/>
    </row>
    <row r="2314" spans="1:16" ht="11.25" customHeight="1" x14ac:dyDescent="0.25">
      <c r="A2314" s="84"/>
      <c r="B2314" s="82"/>
      <c r="C2314" s="82"/>
      <c r="D2314" s="82"/>
      <c r="E2314" s="82"/>
      <c r="F2314" s="82"/>
      <c r="G2314" s="82"/>
      <c r="H2314" s="82"/>
      <c r="I2314" s="82"/>
      <c r="J2314" s="82"/>
      <c r="K2314" s="82"/>
      <c r="L2314" s="82"/>
      <c r="M2314" s="82"/>
      <c r="N2314" s="82"/>
      <c r="O2314" s="82"/>
      <c r="P2314" s="293"/>
    </row>
    <row r="2315" spans="1:16" ht="11.25" customHeight="1" x14ac:dyDescent="0.25">
      <c r="A2315" s="84"/>
      <c r="B2315" s="82"/>
      <c r="C2315" s="82"/>
      <c r="D2315" s="82"/>
      <c r="E2315" s="82"/>
      <c r="F2315" s="82"/>
      <c r="G2315" s="82"/>
      <c r="H2315" s="82"/>
      <c r="I2315" s="82"/>
      <c r="J2315" s="82"/>
      <c r="K2315" s="82"/>
      <c r="L2315" s="82"/>
      <c r="M2315" s="82"/>
      <c r="N2315" s="82"/>
      <c r="O2315" s="82"/>
      <c r="P2315" s="293"/>
    </row>
    <row r="2316" spans="1:16" ht="11.25" customHeight="1" x14ac:dyDescent="0.25">
      <c r="A2316" s="84"/>
      <c r="B2316" s="82"/>
      <c r="C2316" s="82"/>
      <c r="D2316" s="82"/>
      <c r="E2316" s="82"/>
      <c r="F2316" s="82"/>
      <c r="G2316" s="82"/>
      <c r="H2316" s="82"/>
      <c r="I2316" s="82"/>
      <c r="J2316" s="82"/>
      <c r="K2316" s="82"/>
      <c r="L2316" s="82"/>
      <c r="M2316" s="82"/>
      <c r="N2316" s="82"/>
      <c r="O2316" s="82"/>
      <c r="P2316" s="293"/>
    </row>
    <row r="2317" spans="1:16" ht="11.25" customHeight="1" x14ac:dyDescent="0.25">
      <c r="A2317" s="84"/>
      <c r="B2317" s="82"/>
      <c r="C2317" s="82"/>
      <c r="D2317" s="82"/>
      <c r="E2317" s="82"/>
      <c r="F2317" s="82"/>
      <c r="G2317" s="82"/>
      <c r="H2317" s="82"/>
      <c r="I2317" s="82"/>
      <c r="J2317" s="82"/>
      <c r="K2317" s="82"/>
      <c r="L2317" s="82"/>
      <c r="M2317" s="82"/>
      <c r="N2317" s="82"/>
      <c r="O2317" s="82"/>
      <c r="P2317" s="293"/>
    </row>
    <row r="2318" spans="1:16" ht="11.25" customHeight="1" x14ac:dyDescent="0.25">
      <c r="A2318" s="84"/>
      <c r="B2318" s="82"/>
      <c r="C2318" s="82"/>
      <c r="D2318" s="82"/>
      <c r="E2318" s="82"/>
      <c r="F2318" s="82"/>
      <c r="G2318" s="82"/>
      <c r="H2318" s="82"/>
      <c r="I2318" s="82"/>
      <c r="J2318" s="82"/>
      <c r="K2318" s="82"/>
      <c r="L2318" s="82"/>
      <c r="M2318" s="82"/>
      <c r="N2318" s="82"/>
      <c r="O2318" s="82"/>
      <c r="P2318" s="293"/>
    </row>
    <row r="2319" spans="1:16" ht="11.25" customHeight="1" x14ac:dyDescent="0.25">
      <c r="A2319" s="84"/>
      <c r="B2319" s="82"/>
      <c r="C2319" s="82"/>
      <c r="D2319" s="82"/>
      <c r="E2319" s="82"/>
      <c r="F2319" s="82"/>
      <c r="G2319" s="82"/>
      <c r="H2319" s="82"/>
      <c r="I2319" s="82"/>
      <c r="J2319" s="82"/>
      <c r="K2319" s="82"/>
      <c r="L2319" s="82"/>
      <c r="M2319" s="82"/>
      <c r="N2319" s="82"/>
      <c r="O2319" s="82"/>
      <c r="P2319" s="293"/>
    </row>
    <row r="2320" spans="1:16" ht="11.25" customHeight="1" x14ac:dyDescent="0.25">
      <c r="A2320" s="84"/>
      <c r="B2320" s="82"/>
      <c r="C2320" s="84"/>
      <c r="D2320" s="184"/>
      <c r="E2320" s="184"/>
      <c r="F2320" s="184"/>
      <c r="G2320" s="184"/>
      <c r="H2320" s="184"/>
      <c r="I2320" s="184"/>
      <c r="J2320" s="184"/>
      <c r="K2320" s="184"/>
      <c r="L2320" s="184"/>
      <c r="M2320" s="184"/>
      <c r="N2320" s="184"/>
      <c r="O2320" s="184"/>
      <c r="P2320" s="293"/>
    </row>
    <row r="2321" spans="1:16" ht="11.25" customHeight="1" x14ac:dyDescent="0.25">
      <c r="A2321" s="84"/>
      <c r="B2321" s="82"/>
      <c r="C2321" s="82"/>
      <c r="D2321" s="82"/>
      <c r="E2321" s="82"/>
      <c r="F2321" s="82"/>
      <c r="G2321" s="82"/>
      <c r="H2321" s="82"/>
      <c r="I2321" s="82"/>
      <c r="J2321" s="82"/>
      <c r="K2321" s="82"/>
      <c r="L2321" s="82"/>
      <c r="M2321" s="82"/>
      <c r="N2321" s="82"/>
      <c r="O2321" s="82"/>
      <c r="P2321" s="293"/>
    </row>
    <row r="2322" spans="1:16" ht="11.25" customHeight="1" x14ac:dyDescent="0.25">
      <c r="A2322" s="84"/>
      <c r="B2322" s="82"/>
      <c r="C2322" s="82"/>
      <c r="D2322" s="82"/>
      <c r="E2322" s="82"/>
      <c r="F2322" s="82"/>
      <c r="G2322" s="82"/>
      <c r="H2322" s="82"/>
      <c r="I2322" s="82"/>
      <c r="J2322" s="82"/>
      <c r="K2322" s="82"/>
      <c r="L2322" s="82"/>
      <c r="M2322" s="82"/>
      <c r="N2322" s="82"/>
      <c r="O2322" s="82"/>
      <c r="P2322" s="293"/>
    </row>
    <row r="2323" spans="1:16" ht="11.25" customHeight="1" x14ac:dyDescent="0.25">
      <c r="A2323" s="84"/>
      <c r="B2323" s="82"/>
      <c r="C2323" s="82"/>
      <c r="D2323" s="82"/>
      <c r="E2323" s="82"/>
      <c r="F2323" s="82"/>
      <c r="G2323" s="82"/>
      <c r="H2323" s="82"/>
      <c r="I2323" s="82"/>
      <c r="J2323" s="82"/>
      <c r="K2323" s="82"/>
      <c r="L2323" s="82"/>
      <c r="M2323" s="82"/>
      <c r="N2323" s="82"/>
      <c r="O2323" s="82"/>
      <c r="P2323" s="293"/>
    </row>
    <row r="2324" spans="1:16" ht="11.25" customHeight="1" x14ac:dyDescent="0.25">
      <c r="A2324" s="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 s="283"/>
    </row>
    <row r="2325" spans="1:16" ht="11.25" customHeight="1" x14ac:dyDescent="0.25">
      <c r="A2325" s="4"/>
      <c r="B2325" s="79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 s="283"/>
    </row>
    <row r="2326" spans="1:16" ht="11.25" customHeight="1" x14ac:dyDescent="0.25">
      <c r="A2326" s="4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 s="283"/>
    </row>
    <row r="2327" spans="1:16" ht="11.25" customHeight="1" x14ac:dyDescent="0.25">
      <c r="A2327" s="4"/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  <c r="P2327" s="283"/>
    </row>
    <row r="2328" spans="1:16" ht="11.25" customHeight="1" x14ac:dyDescent="0.25">
      <c r="A2328" s="4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 s="283"/>
    </row>
    <row r="2329" spans="1:16" ht="11.25" customHeight="1" x14ac:dyDescent="0.25">
      <c r="A2329" s="4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 s="283"/>
    </row>
    <row r="2330" spans="1:16" ht="11.25" customHeight="1" x14ac:dyDescent="0.25">
      <c r="A2330" s="4"/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  <c r="P2330" s="283"/>
    </row>
    <row r="2331" spans="1:16" ht="11.25" customHeight="1" x14ac:dyDescent="0.25">
      <c r="A2331" s="4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 s="283"/>
    </row>
    <row r="2332" spans="1:16" ht="11.25" customHeight="1" x14ac:dyDescent="0.25">
      <c r="A2332" s="4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 s="283"/>
    </row>
    <row r="2333" spans="1:16" ht="11.25" customHeight="1" x14ac:dyDescent="0.25">
      <c r="A2333" s="4"/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  <c r="P2333" s="283"/>
    </row>
    <row r="2334" spans="1:16" ht="11.25" customHeight="1" x14ac:dyDescent="0.25">
      <c r="A2334" s="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 s="283"/>
    </row>
    <row r="2335" spans="1:16" ht="11.25" customHeight="1" x14ac:dyDescent="0.25">
      <c r="A2335" s="4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 s="283"/>
    </row>
    <row r="2336" spans="1:16" ht="11.25" customHeight="1" x14ac:dyDescent="0.25">
      <c r="A2336" s="4"/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 s="283"/>
    </row>
    <row r="2337" spans="1:16" ht="11.25" customHeight="1" x14ac:dyDescent="0.25">
      <c r="A2337" s="4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 s="283"/>
    </row>
    <row r="2338" spans="1:16" ht="11.25" customHeight="1" x14ac:dyDescent="0.25">
      <c r="A2338" s="4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 s="283"/>
    </row>
    <row r="2339" spans="1:16" ht="11.25" customHeight="1" x14ac:dyDescent="0.25">
      <c r="A2339" s="4"/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  <c r="P2339" s="283"/>
    </row>
    <row r="2340" spans="1:16" ht="11.25" customHeight="1" x14ac:dyDescent="0.25">
      <c r="A2340" s="4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 s="283"/>
    </row>
    <row r="2341" spans="1:16" ht="11.25" customHeight="1" x14ac:dyDescent="0.25">
      <c r="A2341" s="4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 s="283"/>
    </row>
    <row r="2342" spans="1:16" ht="11.25" customHeight="1" x14ac:dyDescent="0.25">
      <c r="A2342" s="4"/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  <c r="P2342" s="283"/>
    </row>
    <row r="2343" spans="1:16" ht="11.25" customHeight="1" x14ac:dyDescent="0.25">
      <c r="A2343" s="4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 s="283"/>
    </row>
    <row r="2344" spans="1:16" ht="11.25" customHeight="1" x14ac:dyDescent="0.25">
      <c r="A2344" s="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 s="283"/>
    </row>
    <row r="2345" spans="1:16" ht="11.25" customHeight="1" x14ac:dyDescent="0.25">
      <c r="A2345" s="4"/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  <c r="P2345" s="283"/>
    </row>
    <row r="2346" spans="1:16" ht="11.25" customHeight="1" x14ac:dyDescent="0.25">
      <c r="A2346" s="4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 s="283"/>
    </row>
    <row r="2347" spans="1:16" ht="11.25" customHeight="1" x14ac:dyDescent="0.25">
      <c r="A2347" s="4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 s="283"/>
    </row>
  </sheetData>
  <mergeCells count="2117">
    <mergeCell ref="B2054:O2054"/>
    <mergeCell ref="B2055:O2055"/>
    <mergeCell ref="B2056:O2056"/>
    <mergeCell ref="A1017:O1017"/>
    <mergeCell ref="A1258:O1258"/>
    <mergeCell ref="A1501:O1501"/>
    <mergeCell ref="A1807:N1807"/>
    <mergeCell ref="A2048:O2048"/>
    <mergeCell ref="B2050:O2050"/>
    <mergeCell ref="B2051:O2051"/>
    <mergeCell ref="B2052:O2052"/>
    <mergeCell ref="B2053:O2053"/>
    <mergeCell ref="F1559:G1559"/>
    <mergeCell ref="F1560:G1560"/>
    <mergeCell ref="F1561:G1561"/>
    <mergeCell ref="F1562:G1562"/>
    <mergeCell ref="F1563:G1563"/>
    <mergeCell ref="F1564:G1564"/>
    <mergeCell ref="F1565:G1565"/>
    <mergeCell ref="F1566:G1566"/>
    <mergeCell ref="F1567:G1567"/>
    <mergeCell ref="F1550:G1550"/>
    <mergeCell ref="F1551:G1551"/>
    <mergeCell ref="F1552:G1552"/>
    <mergeCell ref="F1553:G1553"/>
    <mergeCell ref="F1554:G1554"/>
    <mergeCell ref="F1555:G1555"/>
    <mergeCell ref="F1556:G1556"/>
    <mergeCell ref="F1557:G1557"/>
    <mergeCell ref="F1558:G1558"/>
    <mergeCell ref="F1541:G1541"/>
    <mergeCell ref="F1542:G1542"/>
    <mergeCell ref="F1543:G1543"/>
    <mergeCell ref="F1544:G1544"/>
    <mergeCell ref="F1545:G1545"/>
    <mergeCell ref="F1546:G1546"/>
    <mergeCell ref="F1547:G1547"/>
    <mergeCell ref="F1548:G1548"/>
    <mergeCell ref="F1549:G1549"/>
    <mergeCell ref="F1518:G1518"/>
    <mergeCell ref="F1519:G1519"/>
    <mergeCell ref="F1520:G1520"/>
    <mergeCell ref="F1521:G1521"/>
    <mergeCell ref="F1522:G1522"/>
    <mergeCell ref="F1523:G1523"/>
    <mergeCell ref="F1524:G1524"/>
    <mergeCell ref="F1526:G1526"/>
    <mergeCell ref="F1527:G1527"/>
    <mergeCell ref="C2049:O2049"/>
    <mergeCell ref="C1503:G1503"/>
    <mergeCell ref="L1505:P1505"/>
    <mergeCell ref="C1549:E1549"/>
    <mergeCell ref="C1558:E1558"/>
    <mergeCell ref="F1505:G1505"/>
    <mergeCell ref="F1506:G1506"/>
    <mergeCell ref="F1507:G1507"/>
    <mergeCell ref="F1508:G1508"/>
    <mergeCell ref="F1509:G1509"/>
    <mergeCell ref="F1510:G1510"/>
    <mergeCell ref="F1511:G1511"/>
    <mergeCell ref="F1512:G1512"/>
    <mergeCell ref="F1514:G1514"/>
    <mergeCell ref="F1515:G1515"/>
    <mergeCell ref="F1516:G1516"/>
    <mergeCell ref="F1517:G1517"/>
    <mergeCell ref="C2038:G2038"/>
    <mergeCell ref="C2039:G2039"/>
    <mergeCell ref="C2041:G2041"/>
    <mergeCell ref="C2042:G2042"/>
    <mergeCell ref="C2043:G2043"/>
    <mergeCell ref="C2044:G2044"/>
    <mergeCell ref="C2045:G2045"/>
    <mergeCell ref="C2046:G2046"/>
    <mergeCell ref="C2047:G2047"/>
    <mergeCell ref="C2031:G2031"/>
    <mergeCell ref="C2032:G2032"/>
    <mergeCell ref="C2033:G2033"/>
    <mergeCell ref="C2034:G2034"/>
    <mergeCell ref="C2035:G2035"/>
    <mergeCell ref="C2036:G2036"/>
    <mergeCell ref="C2037:G2037"/>
    <mergeCell ref="C2022:G2022"/>
    <mergeCell ref="C2023:G2023"/>
    <mergeCell ref="C2024:G2024"/>
    <mergeCell ref="C2025:G2025"/>
    <mergeCell ref="C2026:G2026"/>
    <mergeCell ref="C2027:G2027"/>
    <mergeCell ref="C2028:G2028"/>
    <mergeCell ref="C2029:G2029"/>
    <mergeCell ref="C2030:G2030"/>
    <mergeCell ref="C2013:G2013"/>
    <mergeCell ref="C2014:G2014"/>
    <mergeCell ref="C2015:G2015"/>
    <mergeCell ref="C2016:G2016"/>
    <mergeCell ref="C2017:G2017"/>
    <mergeCell ref="C2018:G2018"/>
    <mergeCell ref="C2019:G2019"/>
    <mergeCell ref="C2020:G2020"/>
    <mergeCell ref="C2021:G2021"/>
    <mergeCell ref="C2004:G2004"/>
    <mergeCell ref="C2005:G2005"/>
    <mergeCell ref="C2006:G2006"/>
    <mergeCell ref="C2007:G2007"/>
    <mergeCell ref="C2008:G2008"/>
    <mergeCell ref="C2009:G2009"/>
    <mergeCell ref="C2010:G2010"/>
    <mergeCell ref="C2011:G2011"/>
    <mergeCell ref="C2012:G2012"/>
    <mergeCell ref="C1995:G1995"/>
    <mergeCell ref="C1996:G1996"/>
    <mergeCell ref="C1997:G1997"/>
    <mergeCell ref="C1998:G1998"/>
    <mergeCell ref="C1999:G1999"/>
    <mergeCell ref="C2000:G2000"/>
    <mergeCell ref="C2001:G2001"/>
    <mergeCell ref="C2002:G2002"/>
    <mergeCell ref="C2003:G2003"/>
    <mergeCell ref="C1986:G1986"/>
    <mergeCell ref="C1987:G1987"/>
    <mergeCell ref="C1988:G1988"/>
    <mergeCell ref="C1989:G1989"/>
    <mergeCell ref="C1990:G1990"/>
    <mergeCell ref="C1991:G1991"/>
    <mergeCell ref="C1992:G1992"/>
    <mergeCell ref="C1993:G1993"/>
    <mergeCell ref="C1994:G1994"/>
    <mergeCell ref="C1977:G1977"/>
    <mergeCell ref="C1978:G1978"/>
    <mergeCell ref="C1979:G1979"/>
    <mergeCell ref="C1980:G1980"/>
    <mergeCell ref="C1981:G1981"/>
    <mergeCell ref="C1982:G1982"/>
    <mergeCell ref="C1983:G1983"/>
    <mergeCell ref="C1984:G1984"/>
    <mergeCell ref="C1985:G1985"/>
    <mergeCell ref="C1968:G1968"/>
    <mergeCell ref="C1969:G1969"/>
    <mergeCell ref="C1970:G1970"/>
    <mergeCell ref="C1971:G1971"/>
    <mergeCell ref="C1972:G1972"/>
    <mergeCell ref="C1973:G1973"/>
    <mergeCell ref="C1974:G1974"/>
    <mergeCell ref="C1975:G1975"/>
    <mergeCell ref="C1976:G1976"/>
    <mergeCell ref="A1959:P1959"/>
    <mergeCell ref="C1960:G1960"/>
    <mergeCell ref="C1961:G1961"/>
    <mergeCell ref="C1962:G1962"/>
    <mergeCell ref="C1963:G1963"/>
    <mergeCell ref="C1964:G1964"/>
    <mergeCell ref="C1965:G1965"/>
    <mergeCell ref="C1966:G1966"/>
    <mergeCell ref="C1967:G1967"/>
    <mergeCell ref="C1950:G1950"/>
    <mergeCell ref="C1951:G1951"/>
    <mergeCell ref="C1952:G1952"/>
    <mergeCell ref="C1953:G1953"/>
    <mergeCell ref="C1954:G1954"/>
    <mergeCell ref="C1955:G1955"/>
    <mergeCell ref="C1956:G1956"/>
    <mergeCell ref="C1957:G1957"/>
    <mergeCell ref="C1958:G1958"/>
    <mergeCell ref="C1941:G1941"/>
    <mergeCell ref="C1942:G1942"/>
    <mergeCell ref="C1943:G1943"/>
    <mergeCell ref="C1944:G1944"/>
    <mergeCell ref="C1945:G1945"/>
    <mergeCell ref="C1946:G1946"/>
    <mergeCell ref="C1947:G1947"/>
    <mergeCell ref="C1948:G1948"/>
    <mergeCell ref="C1949:G1949"/>
    <mergeCell ref="C1932:G1932"/>
    <mergeCell ref="C1933:G1933"/>
    <mergeCell ref="C1934:G1934"/>
    <mergeCell ref="C1935:G1935"/>
    <mergeCell ref="C1936:G1936"/>
    <mergeCell ref="C1937:G1937"/>
    <mergeCell ref="C1938:G1938"/>
    <mergeCell ref="C1939:G1939"/>
    <mergeCell ref="C1940:G1940"/>
    <mergeCell ref="C1923:G1923"/>
    <mergeCell ref="C1924:G1924"/>
    <mergeCell ref="C1925:G1925"/>
    <mergeCell ref="C1926:G1926"/>
    <mergeCell ref="C1927:G1927"/>
    <mergeCell ref="C1928:G1928"/>
    <mergeCell ref="C1929:G1929"/>
    <mergeCell ref="C1930:G1930"/>
    <mergeCell ref="C1931:G1931"/>
    <mergeCell ref="C1914:G1914"/>
    <mergeCell ref="C1915:G1915"/>
    <mergeCell ref="C1916:G1916"/>
    <mergeCell ref="C1917:G1917"/>
    <mergeCell ref="C1918:G1918"/>
    <mergeCell ref="C1919:G1919"/>
    <mergeCell ref="C1920:G1920"/>
    <mergeCell ref="C1921:G1921"/>
    <mergeCell ref="C1922:G1922"/>
    <mergeCell ref="C1905:G1905"/>
    <mergeCell ref="C1906:G1906"/>
    <mergeCell ref="C1907:G1907"/>
    <mergeCell ref="A1908:P1908"/>
    <mergeCell ref="C1909:G1909"/>
    <mergeCell ref="C1910:G1910"/>
    <mergeCell ref="C1911:G1911"/>
    <mergeCell ref="C1912:G1912"/>
    <mergeCell ref="C1913:G1913"/>
    <mergeCell ref="C1896:G1896"/>
    <mergeCell ref="C1897:G1897"/>
    <mergeCell ref="C1898:G1898"/>
    <mergeCell ref="C1899:G1899"/>
    <mergeCell ref="C1900:G1900"/>
    <mergeCell ref="C1901:G1901"/>
    <mergeCell ref="C1902:G1902"/>
    <mergeCell ref="C1903:G1903"/>
    <mergeCell ref="C1904:G1904"/>
    <mergeCell ref="C1887:G1887"/>
    <mergeCell ref="C1888:G1888"/>
    <mergeCell ref="C1889:G1889"/>
    <mergeCell ref="C1890:G1890"/>
    <mergeCell ref="C1891:G1891"/>
    <mergeCell ref="C1892:G1892"/>
    <mergeCell ref="A1893:P1893"/>
    <mergeCell ref="C1894:G1894"/>
    <mergeCell ref="C1895:G1895"/>
    <mergeCell ref="C1878:G1878"/>
    <mergeCell ref="C1879:G1879"/>
    <mergeCell ref="C1880:G1880"/>
    <mergeCell ref="C1881:G1881"/>
    <mergeCell ref="C1882:G1882"/>
    <mergeCell ref="C1883:G1883"/>
    <mergeCell ref="C1884:G1884"/>
    <mergeCell ref="C1885:G1885"/>
    <mergeCell ref="C1886:G1886"/>
    <mergeCell ref="C1869:G1869"/>
    <mergeCell ref="C1870:G1870"/>
    <mergeCell ref="C1871:G1871"/>
    <mergeCell ref="C1872:G1872"/>
    <mergeCell ref="C1873:G1873"/>
    <mergeCell ref="C1874:G1874"/>
    <mergeCell ref="C1875:G1875"/>
    <mergeCell ref="C1876:G1876"/>
    <mergeCell ref="C1877:G1877"/>
    <mergeCell ref="C1860:G1860"/>
    <mergeCell ref="C1861:G1861"/>
    <mergeCell ref="C1862:G1862"/>
    <mergeCell ref="C1863:G1863"/>
    <mergeCell ref="C1864:G1864"/>
    <mergeCell ref="C1865:G1865"/>
    <mergeCell ref="C1866:G1866"/>
    <mergeCell ref="C1867:G1867"/>
    <mergeCell ref="C1868:G1868"/>
    <mergeCell ref="C1851:G1851"/>
    <mergeCell ref="C1852:G1852"/>
    <mergeCell ref="C1853:G1853"/>
    <mergeCell ref="C1854:G1854"/>
    <mergeCell ref="C1855:G1855"/>
    <mergeCell ref="C1856:G1856"/>
    <mergeCell ref="C1857:G1857"/>
    <mergeCell ref="C1858:G1858"/>
    <mergeCell ref="C1859:G1859"/>
    <mergeCell ref="C1842:G1842"/>
    <mergeCell ref="C1843:G1843"/>
    <mergeCell ref="C1844:G1844"/>
    <mergeCell ref="C1845:G1845"/>
    <mergeCell ref="C1846:G1846"/>
    <mergeCell ref="C1847:G1847"/>
    <mergeCell ref="C1848:G1848"/>
    <mergeCell ref="C1849:G1849"/>
    <mergeCell ref="C1850:G1850"/>
    <mergeCell ref="C1833:G1833"/>
    <mergeCell ref="C1834:G1834"/>
    <mergeCell ref="C1835:G1835"/>
    <mergeCell ref="C1836:G1836"/>
    <mergeCell ref="C1837:G1837"/>
    <mergeCell ref="A1838:P1838"/>
    <mergeCell ref="C1839:G1839"/>
    <mergeCell ref="C1840:G1840"/>
    <mergeCell ref="C1841:G1841"/>
    <mergeCell ref="C1824:G1824"/>
    <mergeCell ref="C1825:G1825"/>
    <mergeCell ref="C1826:G1826"/>
    <mergeCell ref="C1827:G1827"/>
    <mergeCell ref="C1828:G1828"/>
    <mergeCell ref="C1829:G1829"/>
    <mergeCell ref="C1830:G1830"/>
    <mergeCell ref="C1831:G1831"/>
    <mergeCell ref="C1832:G1832"/>
    <mergeCell ref="C1815:G1815"/>
    <mergeCell ref="C1816:G1816"/>
    <mergeCell ref="C1817:G1817"/>
    <mergeCell ref="C1818:G1818"/>
    <mergeCell ref="C1819:G1819"/>
    <mergeCell ref="C1820:G1820"/>
    <mergeCell ref="C1821:G1821"/>
    <mergeCell ref="C1822:G1822"/>
    <mergeCell ref="C1823:G1823"/>
    <mergeCell ref="A1808:P1808"/>
    <mergeCell ref="A1809:P1809"/>
    <mergeCell ref="C1810:G1810"/>
    <mergeCell ref="C1811:G1811"/>
    <mergeCell ref="C1812:G1812"/>
    <mergeCell ref="C1813:G1813"/>
    <mergeCell ref="C1814:G1814"/>
    <mergeCell ref="C1802:E1802"/>
    <mergeCell ref="C1803:E1803"/>
    <mergeCell ref="C1804:E1804"/>
    <mergeCell ref="C1793:E1793"/>
    <mergeCell ref="C1794:E1794"/>
    <mergeCell ref="C1795:E1795"/>
    <mergeCell ref="C1796:E1796"/>
    <mergeCell ref="C1797:E1797"/>
    <mergeCell ref="C1798:E1798"/>
    <mergeCell ref="C1799:E1799"/>
    <mergeCell ref="C1800:E1800"/>
    <mergeCell ref="C1801:E1801"/>
    <mergeCell ref="C1784:E1784"/>
    <mergeCell ref="C1785:E1785"/>
    <mergeCell ref="C1786:E1786"/>
    <mergeCell ref="C1787:E1787"/>
    <mergeCell ref="C1788:E1788"/>
    <mergeCell ref="C1789:E1789"/>
    <mergeCell ref="C1790:E1790"/>
    <mergeCell ref="C1791:E1791"/>
    <mergeCell ref="C1792:N1792"/>
    <mergeCell ref="C1775:E1775"/>
    <mergeCell ref="C1776:E1776"/>
    <mergeCell ref="C1777:N1777"/>
    <mergeCell ref="C1778:E1778"/>
    <mergeCell ref="C1779:E1779"/>
    <mergeCell ref="C1780:E1780"/>
    <mergeCell ref="C1781:E1781"/>
    <mergeCell ref="C1782:E1782"/>
    <mergeCell ref="C1783:E1783"/>
    <mergeCell ref="C1766:E1766"/>
    <mergeCell ref="C1767:E1767"/>
    <mergeCell ref="C1768:E1768"/>
    <mergeCell ref="C1769:E1769"/>
    <mergeCell ref="C1770:E1770"/>
    <mergeCell ref="C1771:E1771"/>
    <mergeCell ref="C1772:E1772"/>
    <mergeCell ref="C1773:E1773"/>
    <mergeCell ref="C1774:E1774"/>
    <mergeCell ref="C1757:E1757"/>
    <mergeCell ref="C1758:E1758"/>
    <mergeCell ref="C1759:E1759"/>
    <mergeCell ref="C1760:N1760"/>
    <mergeCell ref="A1761:N1761"/>
    <mergeCell ref="C1762:E1762"/>
    <mergeCell ref="C1763:N1763"/>
    <mergeCell ref="C1764:E1764"/>
    <mergeCell ref="C1765:E1765"/>
    <mergeCell ref="C1748:E1748"/>
    <mergeCell ref="C1749:E1749"/>
    <mergeCell ref="C1750:E1750"/>
    <mergeCell ref="C1751:E1751"/>
    <mergeCell ref="C1752:E1752"/>
    <mergeCell ref="C1753:E1753"/>
    <mergeCell ref="C1754:E1754"/>
    <mergeCell ref="C1755:E1755"/>
    <mergeCell ref="C1756:E1756"/>
    <mergeCell ref="C1739:E1739"/>
    <mergeCell ref="C1740:E1740"/>
    <mergeCell ref="C1741:E1741"/>
    <mergeCell ref="C1742:E1742"/>
    <mergeCell ref="C1743:E1743"/>
    <mergeCell ref="C1744:E1744"/>
    <mergeCell ref="C1745:N1745"/>
    <mergeCell ref="C1746:E1746"/>
    <mergeCell ref="C1747:N1747"/>
    <mergeCell ref="A1730:N1730"/>
    <mergeCell ref="C1731:E1731"/>
    <mergeCell ref="C1732:N1732"/>
    <mergeCell ref="C1733:E1733"/>
    <mergeCell ref="C1734:E1734"/>
    <mergeCell ref="C1735:E1735"/>
    <mergeCell ref="C1736:E1736"/>
    <mergeCell ref="C1737:E1737"/>
    <mergeCell ref="C1738:E1738"/>
    <mergeCell ref="C1721:E1721"/>
    <mergeCell ref="C1722:E1722"/>
    <mergeCell ref="C1723:E1723"/>
    <mergeCell ref="C1724:E1724"/>
    <mergeCell ref="C1725:E1725"/>
    <mergeCell ref="C1726:E1726"/>
    <mergeCell ref="C1727:E1727"/>
    <mergeCell ref="C1728:E1728"/>
    <mergeCell ref="C1729:E1729"/>
    <mergeCell ref="C1712:E1712"/>
    <mergeCell ref="C1713:E1713"/>
    <mergeCell ref="C1714:E1714"/>
    <mergeCell ref="C1715:E1715"/>
    <mergeCell ref="C1716:E1716"/>
    <mergeCell ref="C1717:N1717"/>
    <mergeCell ref="C1718:E1718"/>
    <mergeCell ref="C1719:E1719"/>
    <mergeCell ref="C1720:E1720"/>
    <mergeCell ref="C1703:E1703"/>
    <mergeCell ref="C1704:E1704"/>
    <mergeCell ref="C1705:N1705"/>
    <mergeCell ref="C1706:E1706"/>
    <mergeCell ref="C1707:E1707"/>
    <mergeCell ref="C1708:E1708"/>
    <mergeCell ref="C1709:E1709"/>
    <mergeCell ref="C1710:E1710"/>
    <mergeCell ref="C1711:E1711"/>
    <mergeCell ref="C1694:E1694"/>
    <mergeCell ref="C1695:E1695"/>
    <mergeCell ref="C1696:E1696"/>
    <mergeCell ref="C1697:E1697"/>
    <mergeCell ref="C1698:E1698"/>
    <mergeCell ref="C1699:E1699"/>
    <mergeCell ref="C1700:E1700"/>
    <mergeCell ref="C1701:E1701"/>
    <mergeCell ref="C1702:E1702"/>
    <mergeCell ref="C1685:E1685"/>
    <mergeCell ref="C1686:E1686"/>
    <mergeCell ref="C1687:E1687"/>
    <mergeCell ref="C1688:E1688"/>
    <mergeCell ref="C1689:E1689"/>
    <mergeCell ref="A1690:N1690"/>
    <mergeCell ref="C1691:E1691"/>
    <mergeCell ref="C1692:N1692"/>
    <mergeCell ref="C1693:E1693"/>
    <mergeCell ref="C1676:E1676"/>
    <mergeCell ref="C1677:E1677"/>
    <mergeCell ref="C1678:E1678"/>
    <mergeCell ref="C1679:E1679"/>
    <mergeCell ref="C1680:E1680"/>
    <mergeCell ref="C1681:E1681"/>
    <mergeCell ref="C1682:E1682"/>
    <mergeCell ref="C1683:E1683"/>
    <mergeCell ref="C1684:E1684"/>
    <mergeCell ref="C1667:E1667"/>
    <mergeCell ref="C1668:E1668"/>
    <mergeCell ref="C1669:E1669"/>
    <mergeCell ref="C1670:E1670"/>
    <mergeCell ref="C1671:N1671"/>
    <mergeCell ref="C1672:E1672"/>
    <mergeCell ref="C1673:N1673"/>
    <mergeCell ref="C1674:E1674"/>
    <mergeCell ref="C1675:N1675"/>
    <mergeCell ref="C1658:N1658"/>
    <mergeCell ref="C1659:E1659"/>
    <mergeCell ref="C1660:E1660"/>
    <mergeCell ref="C1661:E1661"/>
    <mergeCell ref="C1662:E1662"/>
    <mergeCell ref="C1663:E1663"/>
    <mergeCell ref="C1664:E1664"/>
    <mergeCell ref="C1665:E1665"/>
    <mergeCell ref="C1666:E1666"/>
    <mergeCell ref="C1649:E1649"/>
    <mergeCell ref="C1650:E1650"/>
    <mergeCell ref="C1651:E1651"/>
    <mergeCell ref="C1652:E1652"/>
    <mergeCell ref="C1653:E1653"/>
    <mergeCell ref="C1654:N1654"/>
    <mergeCell ref="C1655:E1655"/>
    <mergeCell ref="C1656:N1656"/>
    <mergeCell ref="C1657:E1657"/>
    <mergeCell ref="C1640:E1640"/>
    <mergeCell ref="C1641:N1641"/>
    <mergeCell ref="C1642:E1642"/>
    <mergeCell ref="C1643:E1643"/>
    <mergeCell ref="C1644:E1644"/>
    <mergeCell ref="C1645:E1645"/>
    <mergeCell ref="C1646:E1646"/>
    <mergeCell ref="C1647:E1647"/>
    <mergeCell ref="C1648:E1648"/>
    <mergeCell ref="C1631:E1631"/>
    <mergeCell ref="C1632:E1632"/>
    <mergeCell ref="C1633:E1633"/>
    <mergeCell ref="C1634:E1634"/>
    <mergeCell ref="C1635:E1635"/>
    <mergeCell ref="C1636:E1636"/>
    <mergeCell ref="C1637:E1637"/>
    <mergeCell ref="C1638:E1638"/>
    <mergeCell ref="C1639:E1639"/>
    <mergeCell ref="C1622:E1622"/>
    <mergeCell ref="C1623:E1623"/>
    <mergeCell ref="C1624:E1624"/>
    <mergeCell ref="C1625:E1625"/>
    <mergeCell ref="C1626:N1626"/>
    <mergeCell ref="C1627:E1627"/>
    <mergeCell ref="C1628:N1628"/>
    <mergeCell ref="C1629:E1629"/>
    <mergeCell ref="C1630:E1630"/>
    <mergeCell ref="C1613:N1613"/>
    <mergeCell ref="C1614:E1614"/>
    <mergeCell ref="C1615:E1615"/>
    <mergeCell ref="C1616:E1616"/>
    <mergeCell ref="C1617:E1617"/>
    <mergeCell ref="C1618:E1618"/>
    <mergeCell ref="C1619:E1619"/>
    <mergeCell ref="C1620:E1620"/>
    <mergeCell ref="C1621:E1621"/>
    <mergeCell ref="C1604:E1604"/>
    <mergeCell ref="C1605:E1605"/>
    <mergeCell ref="C1606:E1606"/>
    <mergeCell ref="C1607:E1607"/>
    <mergeCell ref="C1608:E1608"/>
    <mergeCell ref="C1609:E1609"/>
    <mergeCell ref="C1610:N1610"/>
    <mergeCell ref="A1611:N1611"/>
    <mergeCell ref="C1612:E1612"/>
    <mergeCell ref="C1595:E1595"/>
    <mergeCell ref="C1596:N1596"/>
    <mergeCell ref="C1597:E1597"/>
    <mergeCell ref="C1598:E1598"/>
    <mergeCell ref="C1599:E1599"/>
    <mergeCell ref="C1600:E1600"/>
    <mergeCell ref="C1601:E1601"/>
    <mergeCell ref="C1602:E1602"/>
    <mergeCell ref="C1603:E1603"/>
    <mergeCell ref="C1586:E1586"/>
    <mergeCell ref="C1587:E1587"/>
    <mergeCell ref="C1588:E1588"/>
    <mergeCell ref="C1589:E1589"/>
    <mergeCell ref="C1590:E1590"/>
    <mergeCell ref="C1591:E1591"/>
    <mergeCell ref="C1592:E1592"/>
    <mergeCell ref="C1593:E1593"/>
    <mergeCell ref="C1594:N1594"/>
    <mergeCell ref="C1577:E1577"/>
    <mergeCell ref="A1578:N1578"/>
    <mergeCell ref="C1579:E1579"/>
    <mergeCell ref="C1580:N1580"/>
    <mergeCell ref="C1581:E1581"/>
    <mergeCell ref="C1582:E1582"/>
    <mergeCell ref="C1583:E1583"/>
    <mergeCell ref="C1584:E1584"/>
    <mergeCell ref="C1585:E1585"/>
    <mergeCell ref="C1568:E1568"/>
    <mergeCell ref="C1569:E1569"/>
    <mergeCell ref="C1570:N1570"/>
    <mergeCell ref="C1571:E1571"/>
    <mergeCell ref="C1572:E1572"/>
    <mergeCell ref="C1573:E1573"/>
    <mergeCell ref="C1574:E1574"/>
    <mergeCell ref="C1575:E1575"/>
    <mergeCell ref="C1576:E1576"/>
    <mergeCell ref="F1568:G1568"/>
    <mergeCell ref="F1569:G1569"/>
    <mergeCell ref="F1571:G1571"/>
    <mergeCell ref="F1572:G1572"/>
    <mergeCell ref="F1573:G1573"/>
    <mergeCell ref="F1574:G1574"/>
    <mergeCell ref="F1575:G1575"/>
    <mergeCell ref="F1576:G1576"/>
    <mergeCell ref="C1559:E1559"/>
    <mergeCell ref="C1560:E1560"/>
    <mergeCell ref="C1561:E1561"/>
    <mergeCell ref="C1562:E1562"/>
    <mergeCell ref="C1563:E1563"/>
    <mergeCell ref="C1564:E1564"/>
    <mergeCell ref="C1565:E1565"/>
    <mergeCell ref="C1566:E1566"/>
    <mergeCell ref="C1567:E1567"/>
    <mergeCell ref="C1550:E1550"/>
    <mergeCell ref="C1551:E1551"/>
    <mergeCell ref="C1552:E1552"/>
    <mergeCell ref="C1553:E1553"/>
    <mergeCell ref="C1554:E1554"/>
    <mergeCell ref="C1555:E1555"/>
    <mergeCell ref="C1556:E1556"/>
    <mergeCell ref="C1557:E1557"/>
    <mergeCell ref="C1541:E1541"/>
    <mergeCell ref="C1542:E1542"/>
    <mergeCell ref="C1543:E1543"/>
    <mergeCell ref="C1544:E1544"/>
    <mergeCell ref="C1545:E1545"/>
    <mergeCell ref="C1546:E1546"/>
    <mergeCell ref="C1547:E1547"/>
    <mergeCell ref="C1548:E1548"/>
    <mergeCell ref="C1532:E1532"/>
    <mergeCell ref="C1533:E1533"/>
    <mergeCell ref="C1534:E1534"/>
    <mergeCell ref="C1535:E1535"/>
    <mergeCell ref="C1536:E1536"/>
    <mergeCell ref="C1537:N1537"/>
    <mergeCell ref="C1538:E1538"/>
    <mergeCell ref="C1539:E1539"/>
    <mergeCell ref="C1540:E1540"/>
    <mergeCell ref="F1532:G1532"/>
    <mergeCell ref="F1533:G1533"/>
    <mergeCell ref="F1534:G1534"/>
    <mergeCell ref="F1535:G1535"/>
    <mergeCell ref="F1536:G1536"/>
    <mergeCell ref="F1538:G1538"/>
    <mergeCell ref="F1539:G1539"/>
    <mergeCell ref="F1540:G1540"/>
    <mergeCell ref="C1523:E1523"/>
    <mergeCell ref="C1524:E1524"/>
    <mergeCell ref="C1525:N1525"/>
    <mergeCell ref="C1526:E1526"/>
    <mergeCell ref="C1527:E1527"/>
    <mergeCell ref="C1528:E1528"/>
    <mergeCell ref="C1529:E1529"/>
    <mergeCell ref="C1530:E1530"/>
    <mergeCell ref="C1531:E1531"/>
    <mergeCell ref="F1528:G1528"/>
    <mergeCell ref="F1529:G1529"/>
    <mergeCell ref="F1530:G1530"/>
    <mergeCell ref="F1531:G1531"/>
    <mergeCell ref="C1514:E1514"/>
    <mergeCell ref="C1515:E1515"/>
    <mergeCell ref="C1516:E1516"/>
    <mergeCell ref="C1517:E1517"/>
    <mergeCell ref="C1518:E1518"/>
    <mergeCell ref="C1519:E1519"/>
    <mergeCell ref="C1520:E1520"/>
    <mergeCell ref="C1521:E1521"/>
    <mergeCell ref="C1522:E1522"/>
    <mergeCell ref="C1505:E1505"/>
    <mergeCell ref="C1506:E1506"/>
    <mergeCell ref="C1507:E1507"/>
    <mergeCell ref="C1508:E1508"/>
    <mergeCell ref="C1509:E1509"/>
    <mergeCell ref="C1510:E1510"/>
    <mergeCell ref="C1511:E1511"/>
    <mergeCell ref="C1512:E1512"/>
    <mergeCell ref="C1513:N1513"/>
    <mergeCell ref="A1502:N1502"/>
    <mergeCell ref="C1504:N1504"/>
    <mergeCell ref="C1494:G1494"/>
    <mergeCell ref="C1495:G1495"/>
    <mergeCell ref="C1496:G1496"/>
    <mergeCell ref="C1497:G1497"/>
    <mergeCell ref="C1498:G1498"/>
    <mergeCell ref="C1499:G1499"/>
    <mergeCell ref="C1500:G1500"/>
    <mergeCell ref="C1484:G1484"/>
    <mergeCell ref="C1485:G1485"/>
    <mergeCell ref="C1486:G1486"/>
    <mergeCell ref="C1487:G1487"/>
    <mergeCell ref="C1488:G1488"/>
    <mergeCell ref="C1489:G1489"/>
    <mergeCell ref="C1490:G1490"/>
    <mergeCell ref="C1491:G1491"/>
    <mergeCell ref="C1492:G1492"/>
    <mergeCell ref="C1475:G1475"/>
    <mergeCell ref="C1476:G1476"/>
    <mergeCell ref="C1477:G1477"/>
    <mergeCell ref="C1478:G1478"/>
    <mergeCell ref="C1479:G1479"/>
    <mergeCell ref="C1480:G1480"/>
    <mergeCell ref="C1481:G1481"/>
    <mergeCell ref="C1482:G1482"/>
    <mergeCell ref="C1483:G1483"/>
    <mergeCell ref="C1466:G1466"/>
    <mergeCell ref="C1467:G1467"/>
    <mergeCell ref="C1468:G1468"/>
    <mergeCell ref="C1469:G1469"/>
    <mergeCell ref="C1470:G1470"/>
    <mergeCell ref="C1471:G1471"/>
    <mergeCell ref="C1472:G1472"/>
    <mergeCell ref="C1473:G1473"/>
    <mergeCell ref="C1474:G1474"/>
    <mergeCell ref="C1457:G1457"/>
    <mergeCell ref="C1458:G1458"/>
    <mergeCell ref="C1459:G1459"/>
    <mergeCell ref="C1460:G1460"/>
    <mergeCell ref="C1461:G1461"/>
    <mergeCell ref="C1462:G1462"/>
    <mergeCell ref="C1463:G1463"/>
    <mergeCell ref="C1464:G1464"/>
    <mergeCell ref="C1465:G1465"/>
    <mergeCell ref="C1448:G1448"/>
    <mergeCell ref="C1449:G1449"/>
    <mergeCell ref="C1450:G1450"/>
    <mergeCell ref="C1451:G1451"/>
    <mergeCell ref="C1452:G1452"/>
    <mergeCell ref="C1453:G1453"/>
    <mergeCell ref="C1454:G1454"/>
    <mergeCell ref="C1455:G1455"/>
    <mergeCell ref="C1456:G1456"/>
    <mergeCell ref="C1439:G1439"/>
    <mergeCell ref="C1440:G1440"/>
    <mergeCell ref="C1441:G1441"/>
    <mergeCell ref="C1442:G1442"/>
    <mergeCell ref="C1443:G1443"/>
    <mergeCell ref="C1444:G1444"/>
    <mergeCell ref="C1445:G1445"/>
    <mergeCell ref="C1446:G1446"/>
    <mergeCell ref="C1447:G1447"/>
    <mergeCell ref="C1430:G1430"/>
    <mergeCell ref="C1431:G1431"/>
    <mergeCell ref="C1432:G1432"/>
    <mergeCell ref="C1433:G1433"/>
    <mergeCell ref="C1434:G1434"/>
    <mergeCell ref="C1435:G1435"/>
    <mergeCell ref="C1436:G1436"/>
    <mergeCell ref="C1437:G1437"/>
    <mergeCell ref="C1438:G1438"/>
    <mergeCell ref="C1421:G1421"/>
    <mergeCell ref="C1422:G1422"/>
    <mergeCell ref="C1423:G1423"/>
    <mergeCell ref="C1424:G1424"/>
    <mergeCell ref="C1425:G1425"/>
    <mergeCell ref="C1426:G1426"/>
    <mergeCell ref="C1427:G1427"/>
    <mergeCell ref="C1428:G1428"/>
    <mergeCell ref="C1429:G1429"/>
    <mergeCell ref="C1412:G1412"/>
    <mergeCell ref="C1413:G1413"/>
    <mergeCell ref="C1414:G1414"/>
    <mergeCell ref="C1415:G1415"/>
    <mergeCell ref="C1416:G1416"/>
    <mergeCell ref="C1417:G1417"/>
    <mergeCell ref="C1418:G1418"/>
    <mergeCell ref="C1419:G1419"/>
    <mergeCell ref="C1420:G1420"/>
    <mergeCell ref="C1403:G1403"/>
    <mergeCell ref="C1404:G1404"/>
    <mergeCell ref="C1405:G1405"/>
    <mergeCell ref="C1406:G1406"/>
    <mergeCell ref="C1407:G1407"/>
    <mergeCell ref="C1408:G1408"/>
    <mergeCell ref="C1409:G1409"/>
    <mergeCell ref="A1410:P1410"/>
    <mergeCell ref="C1411:G1411"/>
    <mergeCell ref="C1394:G1394"/>
    <mergeCell ref="C1395:G1395"/>
    <mergeCell ref="C1396:G1396"/>
    <mergeCell ref="C1397:G1397"/>
    <mergeCell ref="C1398:G1398"/>
    <mergeCell ref="C1399:G1399"/>
    <mergeCell ref="C1400:G1400"/>
    <mergeCell ref="C1401:G1401"/>
    <mergeCell ref="C1402:G1402"/>
    <mergeCell ref="C1385:G1385"/>
    <mergeCell ref="C1386:G1386"/>
    <mergeCell ref="C1387:G1387"/>
    <mergeCell ref="C1388:G1388"/>
    <mergeCell ref="C1389:G1389"/>
    <mergeCell ref="C1390:G1390"/>
    <mergeCell ref="C1391:G1391"/>
    <mergeCell ref="C1392:G1392"/>
    <mergeCell ref="C1393:G1393"/>
    <mergeCell ref="C1376:G1376"/>
    <mergeCell ref="C1377:G1377"/>
    <mergeCell ref="C1378:G1378"/>
    <mergeCell ref="C1379:G1379"/>
    <mergeCell ref="C1380:G1380"/>
    <mergeCell ref="C1381:G1381"/>
    <mergeCell ref="C1382:G1382"/>
    <mergeCell ref="C1383:G1383"/>
    <mergeCell ref="C1384:G1384"/>
    <mergeCell ref="C1367:G1367"/>
    <mergeCell ref="C1368:G1368"/>
    <mergeCell ref="C1369:G1369"/>
    <mergeCell ref="C1370:G1370"/>
    <mergeCell ref="C1371:G1371"/>
    <mergeCell ref="C1372:G1372"/>
    <mergeCell ref="C1373:G1373"/>
    <mergeCell ref="C1374:G1374"/>
    <mergeCell ref="C1375:G1375"/>
    <mergeCell ref="C1358:G1358"/>
    <mergeCell ref="A1359:P1359"/>
    <mergeCell ref="C1360:G1360"/>
    <mergeCell ref="C1361:G1361"/>
    <mergeCell ref="C1362:G1362"/>
    <mergeCell ref="C1363:G1363"/>
    <mergeCell ref="C1364:G1364"/>
    <mergeCell ref="C1365:G1365"/>
    <mergeCell ref="C1366:G1366"/>
    <mergeCell ref="C1349:G1349"/>
    <mergeCell ref="C1350:G1350"/>
    <mergeCell ref="C1351:G1351"/>
    <mergeCell ref="C1352:G1352"/>
    <mergeCell ref="C1353:G1353"/>
    <mergeCell ref="C1354:G1354"/>
    <mergeCell ref="C1355:G1355"/>
    <mergeCell ref="C1356:G1356"/>
    <mergeCell ref="C1357:G1357"/>
    <mergeCell ref="C1340:G1340"/>
    <mergeCell ref="C1341:G1341"/>
    <mergeCell ref="C1342:G1342"/>
    <mergeCell ref="C1343:G1343"/>
    <mergeCell ref="A1344:P1344"/>
    <mergeCell ref="C1345:G1345"/>
    <mergeCell ref="C1346:G1346"/>
    <mergeCell ref="C1347:G1347"/>
    <mergeCell ref="C1348:G1348"/>
    <mergeCell ref="C1331:G1331"/>
    <mergeCell ref="C1332:G1332"/>
    <mergeCell ref="C1333:G1333"/>
    <mergeCell ref="C1334:G1334"/>
    <mergeCell ref="C1335:G1335"/>
    <mergeCell ref="C1336:G1336"/>
    <mergeCell ref="C1337:G1337"/>
    <mergeCell ref="C1338:G1338"/>
    <mergeCell ref="C1339:G1339"/>
    <mergeCell ref="C1322:G1322"/>
    <mergeCell ref="C1323:G1323"/>
    <mergeCell ref="C1324:G1324"/>
    <mergeCell ref="C1325:G1325"/>
    <mergeCell ref="C1326:G1326"/>
    <mergeCell ref="C1327:G1327"/>
    <mergeCell ref="C1328:G1328"/>
    <mergeCell ref="C1329:G1329"/>
    <mergeCell ref="C1330:G1330"/>
    <mergeCell ref="C1313:G1313"/>
    <mergeCell ref="C1314:G1314"/>
    <mergeCell ref="C1315:G1315"/>
    <mergeCell ref="C1316:G1316"/>
    <mergeCell ref="C1317:G1317"/>
    <mergeCell ref="C1318:G1318"/>
    <mergeCell ref="C1319:G1319"/>
    <mergeCell ref="C1320:G1320"/>
    <mergeCell ref="C1321:G1321"/>
    <mergeCell ref="C1304:G1304"/>
    <mergeCell ref="C1305:G1305"/>
    <mergeCell ref="C1306:G1306"/>
    <mergeCell ref="C1307:G1307"/>
    <mergeCell ref="C1308:G1308"/>
    <mergeCell ref="C1309:G1309"/>
    <mergeCell ref="C1310:G1310"/>
    <mergeCell ref="C1311:G1311"/>
    <mergeCell ref="C1312:G1312"/>
    <mergeCell ref="C1295:G1295"/>
    <mergeCell ref="C1296:G1296"/>
    <mergeCell ref="C1297:G1297"/>
    <mergeCell ref="C1298:G1298"/>
    <mergeCell ref="C1299:G1299"/>
    <mergeCell ref="C1300:G1300"/>
    <mergeCell ref="C1301:G1301"/>
    <mergeCell ref="C1302:G1302"/>
    <mergeCell ref="C1303:G1303"/>
    <mergeCell ref="C1286:G1286"/>
    <mergeCell ref="C1287:G1287"/>
    <mergeCell ref="C1288:G1288"/>
    <mergeCell ref="A1289:P1289"/>
    <mergeCell ref="C1290:G1290"/>
    <mergeCell ref="C1291:G1291"/>
    <mergeCell ref="C1292:G1292"/>
    <mergeCell ref="C1293:G1293"/>
    <mergeCell ref="C1294:G1294"/>
    <mergeCell ref="C1277:G1277"/>
    <mergeCell ref="C1278:G1278"/>
    <mergeCell ref="C1279:G1279"/>
    <mergeCell ref="C1280:G1280"/>
    <mergeCell ref="C1281:G1281"/>
    <mergeCell ref="C1282:G1282"/>
    <mergeCell ref="C1283:G1283"/>
    <mergeCell ref="C1284:G1284"/>
    <mergeCell ref="C1285:G1285"/>
    <mergeCell ref="C1268:G1268"/>
    <mergeCell ref="C1269:G1269"/>
    <mergeCell ref="C1270:G1270"/>
    <mergeCell ref="C1271:G1271"/>
    <mergeCell ref="C1272:G1272"/>
    <mergeCell ref="C1273:G1273"/>
    <mergeCell ref="C1274:G1274"/>
    <mergeCell ref="C1275:G1275"/>
    <mergeCell ref="C1276:G1276"/>
    <mergeCell ref="A1259:P1259"/>
    <mergeCell ref="A1260:P1260"/>
    <mergeCell ref="C1261:G1261"/>
    <mergeCell ref="C1262:G1262"/>
    <mergeCell ref="C1263:G1263"/>
    <mergeCell ref="C1264:G1264"/>
    <mergeCell ref="C1265:G1265"/>
    <mergeCell ref="C1266:G1266"/>
    <mergeCell ref="C1267:G1267"/>
    <mergeCell ref="C1253:G1253"/>
    <mergeCell ref="C1254:G1254"/>
    <mergeCell ref="C1255:G1255"/>
    <mergeCell ref="C1256:G1256"/>
    <mergeCell ref="C1257:G1257"/>
    <mergeCell ref="C1243:G1243"/>
    <mergeCell ref="C1244:G1244"/>
    <mergeCell ref="C1245:G1245"/>
    <mergeCell ref="C1246:G1246"/>
    <mergeCell ref="C1247:G1247"/>
    <mergeCell ref="C1248:G1248"/>
    <mergeCell ref="C1249:G1249"/>
    <mergeCell ref="C1251:G1251"/>
    <mergeCell ref="C1252:G1252"/>
    <mergeCell ref="C1234:G1234"/>
    <mergeCell ref="C1235:G1235"/>
    <mergeCell ref="C1236:G1236"/>
    <mergeCell ref="C1237:G1237"/>
    <mergeCell ref="C1238:G1238"/>
    <mergeCell ref="C1239:G1239"/>
    <mergeCell ref="C1240:G1240"/>
    <mergeCell ref="C1241:G1241"/>
    <mergeCell ref="C1242:G1242"/>
    <mergeCell ref="C1225:G1225"/>
    <mergeCell ref="C1226:G1226"/>
    <mergeCell ref="C1227:G1227"/>
    <mergeCell ref="C1228:G1228"/>
    <mergeCell ref="C1229:G1229"/>
    <mergeCell ref="C1230:G1230"/>
    <mergeCell ref="C1231:G1231"/>
    <mergeCell ref="C1232:G1232"/>
    <mergeCell ref="C1233:G1233"/>
    <mergeCell ref="C1216:G1216"/>
    <mergeCell ref="C1217:G1217"/>
    <mergeCell ref="C1218:G1218"/>
    <mergeCell ref="C1219:G1219"/>
    <mergeCell ref="C1220:G1220"/>
    <mergeCell ref="C1221:G1221"/>
    <mergeCell ref="C1222:G1222"/>
    <mergeCell ref="C1223:G1223"/>
    <mergeCell ref="C1224:G1224"/>
    <mergeCell ref="C1207:G1207"/>
    <mergeCell ref="C1208:G1208"/>
    <mergeCell ref="C1209:G1209"/>
    <mergeCell ref="C1210:G1210"/>
    <mergeCell ref="C1211:G1211"/>
    <mergeCell ref="C1212:G1212"/>
    <mergeCell ref="C1213:G1213"/>
    <mergeCell ref="C1214:G1214"/>
    <mergeCell ref="C1215:G1215"/>
    <mergeCell ref="C1198:G1198"/>
    <mergeCell ref="C1199:G1199"/>
    <mergeCell ref="C1200:G1200"/>
    <mergeCell ref="C1201:G1201"/>
    <mergeCell ref="C1202:G1202"/>
    <mergeCell ref="C1203:G1203"/>
    <mergeCell ref="C1204:G1204"/>
    <mergeCell ref="C1205:G1205"/>
    <mergeCell ref="C1206:G1206"/>
    <mergeCell ref="C1189:G1189"/>
    <mergeCell ref="C1190:G1190"/>
    <mergeCell ref="C1191:G1191"/>
    <mergeCell ref="C1192:G1192"/>
    <mergeCell ref="C1193:G1193"/>
    <mergeCell ref="C1194:G1194"/>
    <mergeCell ref="C1195:G1195"/>
    <mergeCell ref="C1196:G1196"/>
    <mergeCell ref="C1197:G1197"/>
    <mergeCell ref="C1180:G1180"/>
    <mergeCell ref="C1181:G1181"/>
    <mergeCell ref="C1182:G1182"/>
    <mergeCell ref="C1183:G1183"/>
    <mergeCell ref="C1184:G1184"/>
    <mergeCell ref="C1185:G1185"/>
    <mergeCell ref="C1186:G1186"/>
    <mergeCell ref="C1187:G1187"/>
    <mergeCell ref="C1188:G1188"/>
    <mergeCell ref="C1171:G1171"/>
    <mergeCell ref="C1172:G1172"/>
    <mergeCell ref="C1173:G1173"/>
    <mergeCell ref="C1174:G1174"/>
    <mergeCell ref="C1175:G1175"/>
    <mergeCell ref="C1176:G1176"/>
    <mergeCell ref="C1177:G1177"/>
    <mergeCell ref="C1178:G1178"/>
    <mergeCell ref="C1179:G1179"/>
    <mergeCell ref="C1162:G1162"/>
    <mergeCell ref="C1163:G1163"/>
    <mergeCell ref="C1164:G1164"/>
    <mergeCell ref="C1165:G1165"/>
    <mergeCell ref="C1166:G1166"/>
    <mergeCell ref="C1167:G1167"/>
    <mergeCell ref="C1168:G1168"/>
    <mergeCell ref="A1169:P1169"/>
    <mergeCell ref="C1170:G1170"/>
    <mergeCell ref="C1153:G1153"/>
    <mergeCell ref="C1154:G1154"/>
    <mergeCell ref="C1155:G1155"/>
    <mergeCell ref="C1156:G1156"/>
    <mergeCell ref="C1157:G1157"/>
    <mergeCell ref="C1158:G1158"/>
    <mergeCell ref="C1159:G1159"/>
    <mergeCell ref="C1160:G1160"/>
    <mergeCell ref="C1161:G1161"/>
    <mergeCell ref="C1144:G1144"/>
    <mergeCell ref="C1145:G1145"/>
    <mergeCell ref="C1146:G1146"/>
    <mergeCell ref="C1147:G1147"/>
    <mergeCell ref="C1148:G1148"/>
    <mergeCell ref="C1149:G1149"/>
    <mergeCell ref="C1150:G1150"/>
    <mergeCell ref="C1151:G1151"/>
    <mergeCell ref="C1152:G1152"/>
    <mergeCell ref="C1135:G1135"/>
    <mergeCell ref="C1136:G1136"/>
    <mergeCell ref="C1137:G1137"/>
    <mergeCell ref="C1138:G1138"/>
    <mergeCell ref="C1139:G1139"/>
    <mergeCell ref="C1140:G1140"/>
    <mergeCell ref="C1141:G1141"/>
    <mergeCell ref="C1142:G1142"/>
    <mergeCell ref="C1143:G1143"/>
    <mergeCell ref="C1126:G1126"/>
    <mergeCell ref="C1127:G1127"/>
    <mergeCell ref="C1128:G1128"/>
    <mergeCell ref="C1129:G1129"/>
    <mergeCell ref="C1130:G1130"/>
    <mergeCell ref="C1131:G1131"/>
    <mergeCell ref="C1132:G1132"/>
    <mergeCell ref="C1133:G1133"/>
    <mergeCell ref="C1134:G1134"/>
    <mergeCell ref="C1117:G1117"/>
    <mergeCell ref="A1118:P1118"/>
    <mergeCell ref="C1119:G1119"/>
    <mergeCell ref="C1120:G1120"/>
    <mergeCell ref="C1121:G1121"/>
    <mergeCell ref="C1122:G1122"/>
    <mergeCell ref="C1123:G1123"/>
    <mergeCell ref="C1124:G1124"/>
    <mergeCell ref="C1125:G1125"/>
    <mergeCell ref="C1108:G1108"/>
    <mergeCell ref="C1109:G1109"/>
    <mergeCell ref="C1110:G1110"/>
    <mergeCell ref="C1111:G1111"/>
    <mergeCell ref="C1112:G1112"/>
    <mergeCell ref="C1113:G1113"/>
    <mergeCell ref="C1114:G1114"/>
    <mergeCell ref="C1115:G1115"/>
    <mergeCell ref="C1116:G1116"/>
    <mergeCell ref="C1099:G1099"/>
    <mergeCell ref="C1100:G1100"/>
    <mergeCell ref="C1101:G1101"/>
    <mergeCell ref="C1102:G1102"/>
    <mergeCell ref="A1103:P1103"/>
    <mergeCell ref="C1104:G1104"/>
    <mergeCell ref="C1105:G1105"/>
    <mergeCell ref="C1106:G1106"/>
    <mergeCell ref="C1107:G1107"/>
    <mergeCell ref="C1090:G1090"/>
    <mergeCell ref="C1091:G1091"/>
    <mergeCell ref="C1092:G1092"/>
    <mergeCell ref="C1093:G1093"/>
    <mergeCell ref="C1094:G1094"/>
    <mergeCell ref="C1095:G1095"/>
    <mergeCell ref="C1096:G1096"/>
    <mergeCell ref="C1097:G1097"/>
    <mergeCell ref="C1098:G1098"/>
    <mergeCell ref="C1081:G1081"/>
    <mergeCell ref="C1082:G1082"/>
    <mergeCell ref="C1083:G1083"/>
    <mergeCell ref="C1084:G1084"/>
    <mergeCell ref="C1085:G1085"/>
    <mergeCell ref="C1086:G1086"/>
    <mergeCell ref="C1087:G1087"/>
    <mergeCell ref="C1088:G1088"/>
    <mergeCell ref="C1089:G1089"/>
    <mergeCell ref="C1072:G1072"/>
    <mergeCell ref="C1073:G1073"/>
    <mergeCell ref="C1074:G1074"/>
    <mergeCell ref="C1075:G1075"/>
    <mergeCell ref="C1076:G1076"/>
    <mergeCell ref="C1077:G1077"/>
    <mergeCell ref="C1078:G1078"/>
    <mergeCell ref="C1079:G1079"/>
    <mergeCell ref="C1080:G1080"/>
    <mergeCell ref="C1063:G1063"/>
    <mergeCell ref="C1064:G1064"/>
    <mergeCell ref="C1065:G1065"/>
    <mergeCell ref="C1066:G1066"/>
    <mergeCell ref="C1067:G1067"/>
    <mergeCell ref="C1068:G1068"/>
    <mergeCell ref="C1069:G1069"/>
    <mergeCell ref="C1070:G1070"/>
    <mergeCell ref="C1071:G1071"/>
    <mergeCell ref="C1054:G1054"/>
    <mergeCell ref="C1055:G1055"/>
    <mergeCell ref="C1056:G1056"/>
    <mergeCell ref="C1057:G1057"/>
    <mergeCell ref="C1058:G1058"/>
    <mergeCell ref="C1059:G1059"/>
    <mergeCell ref="C1060:G1060"/>
    <mergeCell ref="C1061:G1061"/>
    <mergeCell ref="C1062:G1062"/>
    <mergeCell ref="C1045:G1045"/>
    <mergeCell ref="C1046:G1046"/>
    <mergeCell ref="C1047:G1047"/>
    <mergeCell ref="A1048:P1048"/>
    <mergeCell ref="C1049:G1049"/>
    <mergeCell ref="C1050:G1050"/>
    <mergeCell ref="C1051:G1051"/>
    <mergeCell ref="C1052:G1052"/>
    <mergeCell ref="C1053:G1053"/>
    <mergeCell ref="C1036:G1036"/>
    <mergeCell ref="C1037:G1037"/>
    <mergeCell ref="C1038:G1038"/>
    <mergeCell ref="C1039:G1039"/>
    <mergeCell ref="C1040:G1040"/>
    <mergeCell ref="C1041:G1041"/>
    <mergeCell ref="C1042:G1042"/>
    <mergeCell ref="C1043:G1043"/>
    <mergeCell ref="C1044:G1044"/>
    <mergeCell ref="C1027:G1027"/>
    <mergeCell ref="C1028:G1028"/>
    <mergeCell ref="C1029:G1029"/>
    <mergeCell ref="C1030:G1030"/>
    <mergeCell ref="C1031:G1031"/>
    <mergeCell ref="C1032:G1032"/>
    <mergeCell ref="C1033:G1033"/>
    <mergeCell ref="C1034:G1034"/>
    <mergeCell ref="C1035:G1035"/>
    <mergeCell ref="A1018:P1018"/>
    <mergeCell ref="A1019:P1019"/>
    <mergeCell ref="C1020:G1020"/>
    <mergeCell ref="C1021:G1021"/>
    <mergeCell ref="C1022:G1022"/>
    <mergeCell ref="C1023:G1023"/>
    <mergeCell ref="C1024:G1024"/>
    <mergeCell ref="C1025:G1025"/>
    <mergeCell ref="C1026:G1026"/>
    <mergeCell ref="C1016:G1016"/>
    <mergeCell ref="C1006:G1006"/>
    <mergeCell ref="C1007:G1007"/>
    <mergeCell ref="C1008:G1008"/>
    <mergeCell ref="C1010:G1010"/>
    <mergeCell ref="C1011:G1011"/>
    <mergeCell ref="C1012:G1012"/>
    <mergeCell ref="C1013:G1013"/>
    <mergeCell ref="C1014:G1014"/>
    <mergeCell ref="C1015:G1015"/>
    <mergeCell ref="C997:G997"/>
    <mergeCell ref="C998:G998"/>
    <mergeCell ref="C999:G999"/>
    <mergeCell ref="C1000:G1000"/>
    <mergeCell ref="C1001:G1001"/>
    <mergeCell ref="C1002:G1002"/>
    <mergeCell ref="C1003:G1003"/>
    <mergeCell ref="C1004:G1004"/>
    <mergeCell ref="C1005:G1005"/>
    <mergeCell ref="C988:G988"/>
    <mergeCell ref="C989:G989"/>
    <mergeCell ref="C990:G990"/>
    <mergeCell ref="C991:G991"/>
    <mergeCell ref="C992:G992"/>
    <mergeCell ref="C993:G993"/>
    <mergeCell ref="C994:G994"/>
    <mergeCell ref="C995:G995"/>
    <mergeCell ref="C996:G996"/>
    <mergeCell ref="C979:G979"/>
    <mergeCell ref="C980:G980"/>
    <mergeCell ref="C981:G981"/>
    <mergeCell ref="C982:G982"/>
    <mergeCell ref="C983:G983"/>
    <mergeCell ref="C984:G984"/>
    <mergeCell ref="C985:G985"/>
    <mergeCell ref="C986:G986"/>
    <mergeCell ref="C987:G987"/>
    <mergeCell ref="C970:G970"/>
    <mergeCell ref="C971:G971"/>
    <mergeCell ref="C972:G972"/>
    <mergeCell ref="C973:G973"/>
    <mergeCell ref="C974:G974"/>
    <mergeCell ref="C975:G975"/>
    <mergeCell ref="C976:G976"/>
    <mergeCell ref="C977:G977"/>
    <mergeCell ref="C978:G978"/>
    <mergeCell ref="C961:G961"/>
    <mergeCell ref="C962:G962"/>
    <mergeCell ref="C963:G963"/>
    <mergeCell ref="C964:G964"/>
    <mergeCell ref="C965:G965"/>
    <mergeCell ref="C966:G966"/>
    <mergeCell ref="C967:G967"/>
    <mergeCell ref="C968:G968"/>
    <mergeCell ref="C969:G969"/>
    <mergeCell ref="C952:G952"/>
    <mergeCell ref="C953:G953"/>
    <mergeCell ref="C954:G954"/>
    <mergeCell ref="C955:G955"/>
    <mergeCell ref="C956:G956"/>
    <mergeCell ref="C957:G957"/>
    <mergeCell ref="C958:G958"/>
    <mergeCell ref="C959:G959"/>
    <mergeCell ref="C960:G960"/>
    <mergeCell ref="C943:G943"/>
    <mergeCell ref="C944:G944"/>
    <mergeCell ref="C945:G945"/>
    <mergeCell ref="C946:G946"/>
    <mergeCell ref="C947:G947"/>
    <mergeCell ref="C948:G948"/>
    <mergeCell ref="C949:G949"/>
    <mergeCell ref="C950:G950"/>
    <mergeCell ref="C951:G951"/>
    <mergeCell ref="C934:G934"/>
    <mergeCell ref="C935:G935"/>
    <mergeCell ref="C936:G936"/>
    <mergeCell ref="C937:G937"/>
    <mergeCell ref="C938:G938"/>
    <mergeCell ref="C939:G939"/>
    <mergeCell ref="C940:G940"/>
    <mergeCell ref="C941:G941"/>
    <mergeCell ref="C942:G942"/>
    <mergeCell ref="C925:G925"/>
    <mergeCell ref="A926:P926"/>
    <mergeCell ref="C927:G927"/>
    <mergeCell ref="C928:G928"/>
    <mergeCell ref="C929:G929"/>
    <mergeCell ref="C930:G930"/>
    <mergeCell ref="C931:G931"/>
    <mergeCell ref="C932:G932"/>
    <mergeCell ref="C933:G933"/>
    <mergeCell ref="C916:G916"/>
    <mergeCell ref="C917:G917"/>
    <mergeCell ref="C918:G918"/>
    <mergeCell ref="C919:G919"/>
    <mergeCell ref="C920:G920"/>
    <mergeCell ref="C921:G921"/>
    <mergeCell ref="C922:G922"/>
    <mergeCell ref="C923:G923"/>
    <mergeCell ref="C924:G924"/>
    <mergeCell ref="C907:G907"/>
    <mergeCell ref="C908:G908"/>
    <mergeCell ref="C909:G909"/>
    <mergeCell ref="C910:G910"/>
    <mergeCell ref="C911:G911"/>
    <mergeCell ref="C912:G912"/>
    <mergeCell ref="C913:G913"/>
    <mergeCell ref="C914:G914"/>
    <mergeCell ref="C915:G915"/>
    <mergeCell ref="C898:G898"/>
    <mergeCell ref="C899:G899"/>
    <mergeCell ref="C900:G900"/>
    <mergeCell ref="C901:G901"/>
    <mergeCell ref="C902:G902"/>
    <mergeCell ref="C903:G903"/>
    <mergeCell ref="C904:G904"/>
    <mergeCell ref="C905:G905"/>
    <mergeCell ref="C906:G906"/>
    <mergeCell ref="C889:G889"/>
    <mergeCell ref="C890:G890"/>
    <mergeCell ref="C891:G891"/>
    <mergeCell ref="C892:G892"/>
    <mergeCell ref="C893:G893"/>
    <mergeCell ref="C894:G894"/>
    <mergeCell ref="C895:G895"/>
    <mergeCell ref="C896:G896"/>
    <mergeCell ref="C897:G897"/>
    <mergeCell ref="C880:G880"/>
    <mergeCell ref="C881:G881"/>
    <mergeCell ref="C882:G882"/>
    <mergeCell ref="C883:G883"/>
    <mergeCell ref="C884:G884"/>
    <mergeCell ref="C885:G885"/>
    <mergeCell ref="C886:G886"/>
    <mergeCell ref="C887:G887"/>
    <mergeCell ref="C888:G888"/>
    <mergeCell ref="C871:G871"/>
    <mergeCell ref="C872:G872"/>
    <mergeCell ref="C873:G873"/>
    <mergeCell ref="C874:G874"/>
    <mergeCell ref="A875:P875"/>
    <mergeCell ref="C876:G876"/>
    <mergeCell ref="C877:G877"/>
    <mergeCell ref="C878:G878"/>
    <mergeCell ref="C879:G879"/>
    <mergeCell ref="C862:G862"/>
    <mergeCell ref="C863:G863"/>
    <mergeCell ref="C864:G864"/>
    <mergeCell ref="C865:G865"/>
    <mergeCell ref="C866:G866"/>
    <mergeCell ref="C867:G867"/>
    <mergeCell ref="C868:G868"/>
    <mergeCell ref="C869:G869"/>
    <mergeCell ref="C870:G870"/>
    <mergeCell ref="C853:G853"/>
    <mergeCell ref="C854:G854"/>
    <mergeCell ref="C855:G855"/>
    <mergeCell ref="C856:G856"/>
    <mergeCell ref="C857:G857"/>
    <mergeCell ref="C858:G858"/>
    <mergeCell ref="C859:G859"/>
    <mergeCell ref="A860:P860"/>
    <mergeCell ref="C861:G861"/>
    <mergeCell ref="C844:G844"/>
    <mergeCell ref="C845:G845"/>
    <mergeCell ref="C846:G846"/>
    <mergeCell ref="C847:G847"/>
    <mergeCell ref="C848:G848"/>
    <mergeCell ref="C849:G849"/>
    <mergeCell ref="C850:G850"/>
    <mergeCell ref="C851:G851"/>
    <mergeCell ref="C852:G852"/>
    <mergeCell ref="C835:G835"/>
    <mergeCell ref="C836:G836"/>
    <mergeCell ref="C837:G837"/>
    <mergeCell ref="C838:G838"/>
    <mergeCell ref="C839:G839"/>
    <mergeCell ref="C840:G840"/>
    <mergeCell ref="C841:G841"/>
    <mergeCell ref="C842:G842"/>
    <mergeCell ref="C843:G843"/>
    <mergeCell ref="C826:G826"/>
    <mergeCell ref="C827:G827"/>
    <mergeCell ref="C828:G828"/>
    <mergeCell ref="C829:G829"/>
    <mergeCell ref="C830:G830"/>
    <mergeCell ref="C831:G831"/>
    <mergeCell ref="C832:G832"/>
    <mergeCell ref="C833:G833"/>
    <mergeCell ref="C834:G834"/>
    <mergeCell ref="C817:G817"/>
    <mergeCell ref="C818:G818"/>
    <mergeCell ref="C819:G819"/>
    <mergeCell ref="C820:G820"/>
    <mergeCell ref="C821:G821"/>
    <mergeCell ref="C822:G822"/>
    <mergeCell ref="C823:G823"/>
    <mergeCell ref="C824:G824"/>
    <mergeCell ref="C825:G825"/>
    <mergeCell ref="C808:G808"/>
    <mergeCell ref="C809:G809"/>
    <mergeCell ref="C810:G810"/>
    <mergeCell ref="C811:G811"/>
    <mergeCell ref="C812:G812"/>
    <mergeCell ref="C813:G813"/>
    <mergeCell ref="C814:G814"/>
    <mergeCell ref="C815:G815"/>
    <mergeCell ref="C816:G816"/>
    <mergeCell ref="C799:G799"/>
    <mergeCell ref="C800:G800"/>
    <mergeCell ref="C801:G801"/>
    <mergeCell ref="C802:G802"/>
    <mergeCell ref="C803:G803"/>
    <mergeCell ref="C804:G804"/>
    <mergeCell ref="A805:P805"/>
    <mergeCell ref="C806:G806"/>
    <mergeCell ref="C807:G807"/>
    <mergeCell ref="C790:G790"/>
    <mergeCell ref="C791:G791"/>
    <mergeCell ref="C792:G792"/>
    <mergeCell ref="C793:G793"/>
    <mergeCell ref="C794:G794"/>
    <mergeCell ref="C795:G795"/>
    <mergeCell ref="C796:G796"/>
    <mergeCell ref="C797:G797"/>
    <mergeCell ref="C798:G798"/>
    <mergeCell ref="C781:G781"/>
    <mergeCell ref="C782:G782"/>
    <mergeCell ref="C783:G783"/>
    <mergeCell ref="C784:G784"/>
    <mergeCell ref="C785:G785"/>
    <mergeCell ref="C786:G786"/>
    <mergeCell ref="C787:G787"/>
    <mergeCell ref="C788:G788"/>
    <mergeCell ref="C789:G789"/>
    <mergeCell ref="C771:G771"/>
    <mergeCell ref="C772:G772"/>
    <mergeCell ref="C773:G773"/>
    <mergeCell ref="A775:P775"/>
    <mergeCell ref="A776:P776"/>
    <mergeCell ref="C777:G777"/>
    <mergeCell ref="C778:G778"/>
    <mergeCell ref="C779:G779"/>
    <mergeCell ref="C780:G780"/>
    <mergeCell ref="A774:O774"/>
    <mergeCell ref="C761:G761"/>
    <mergeCell ref="C762:G762"/>
    <mergeCell ref="C763:G763"/>
    <mergeCell ref="C764:G764"/>
    <mergeCell ref="C765:G765"/>
    <mergeCell ref="C767:G767"/>
    <mergeCell ref="C768:G768"/>
    <mergeCell ref="C769:G769"/>
    <mergeCell ref="C770:G770"/>
    <mergeCell ref="C752:G752"/>
    <mergeCell ref="C753:G753"/>
    <mergeCell ref="C754:G754"/>
    <mergeCell ref="C755:G755"/>
    <mergeCell ref="C756:G756"/>
    <mergeCell ref="C757:G757"/>
    <mergeCell ref="C758:G758"/>
    <mergeCell ref="C759:G759"/>
    <mergeCell ref="C760:G760"/>
    <mergeCell ref="C743:G743"/>
    <mergeCell ref="C744:G744"/>
    <mergeCell ref="C745:G745"/>
    <mergeCell ref="C746:G746"/>
    <mergeCell ref="C747:G747"/>
    <mergeCell ref="C748:G748"/>
    <mergeCell ref="C749:G749"/>
    <mergeCell ref="C750:G750"/>
    <mergeCell ref="C751:G751"/>
    <mergeCell ref="C734:G734"/>
    <mergeCell ref="C735:G735"/>
    <mergeCell ref="C736:G736"/>
    <mergeCell ref="C737:G737"/>
    <mergeCell ref="C738:G738"/>
    <mergeCell ref="C739:G739"/>
    <mergeCell ref="C740:G740"/>
    <mergeCell ref="C741:G741"/>
    <mergeCell ref="C742:G742"/>
    <mergeCell ref="C725:G725"/>
    <mergeCell ref="C726:G726"/>
    <mergeCell ref="C727:G727"/>
    <mergeCell ref="C728:G728"/>
    <mergeCell ref="C729:G729"/>
    <mergeCell ref="C730:G730"/>
    <mergeCell ref="C731:G731"/>
    <mergeCell ref="C732:G732"/>
    <mergeCell ref="C733:G733"/>
    <mergeCell ref="C716:G716"/>
    <mergeCell ref="C717:G717"/>
    <mergeCell ref="C718:G718"/>
    <mergeCell ref="C719:G719"/>
    <mergeCell ref="C720:G720"/>
    <mergeCell ref="C721:G721"/>
    <mergeCell ref="C722:G722"/>
    <mergeCell ref="C723:G723"/>
    <mergeCell ref="C724:G724"/>
    <mergeCell ref="C707:G707"/>
    <mergeCell ref="C708:G708"/>
    <mergeCell ref="C709:G709"/>
    <mergeCell ref="C710:G710"/>
    <mergeCell ref="C711:G711"/>
    <mergeCell ref="C712:G712"/>
    <mergeCell ref="C713:G713"/>
    <mergeCell ref="C714:G714"/>
    <mergeCell ref="C715:G715"/>
    <mergeCell ref="C698:G698"/>
    <mergeCell ref="C699:G699"/>
    <mergeCell ref="C700:G700"/>
    <mergeCell ref="C701:G701"/>
    <mergeCell ref="C702:G702"/>
    <mergeCell ref="C703:G703"/>
    <mergeCell ref="C704:G704"/>
    <mergeCell ref="C705:G705"/>
    <mergeCell ref="C706:G706"/>
    <mergeCell ref="C689:G689"/>
    <mergeCell ref="C690:G690"/>
    <mergeCell ref="C691:G691"/>
    <mergeCell ref="C692:G692"/>
    <mergeCell ref="C693:G693"/>
    <mergeCell ref="C694:G694"/>
    <mergeCell ref="C695:G695"/>
    <mergeCell ref="C696:G696"/>
    <mergeCell ref="C697:G697"/>
    <mergeCell ref="C680:G680"/>
    <mergeCell ref="C681:G681"/>
    <mergeCell ref="C682:G682"/>
    <mergeCell ref="C683:G683"/>
    <mergeCell ref="C684:G684"/>
    <mergeCell ref="A685:P685"/>
    <mergeCell ref="C686:G686"/>
    <mergeCell ref="C687:G687"/>
    <mergeCell ref="C688:G688"/>
    <mergeCell ref="C671:G671"/>
    <mergeCell ref="C672:G672"/>
    <mergeCell ref="C673:G673"/>
    <mergeCell ref="C674:G674"/>
    <mergeCell ref="C675:G675"/>
    <mergeCell ref="C676:G676"/>
    <mergeCell ref="C677:G677"/>
    <mergeCell ref="C678:G678"/>
    <mergeCell ref="C679:G679"/>
    <mergeCell ref="C662:G662"/>
    <mergeCell ref="C663:G663"/>
    <mergeCell ref="C664:G664"/>
    <mergeCell ref="C665:G665"/>
    <mergeCell ref="C666:G666"/>
    <mergeCell ref="C667:G667"/>
    <mergeCell ref="C668:G668"/>
    <mergeCell ref="C669:G669"/>
    <mergeCell ref="C670:G670"/>
    <mergeCell ref="C653:G653"/>
    <mergeCell ref="C654:G654"/>
    <mergeCell ref="C655:G655"/>
    <mergeCell ref="C656:G656"/>
    <mergeCell ref="C657:G657"/>
    <mergeCell ref="C658:G658"/>
    <mergeCell ref="C659:G659"/>
    <mergeCell ref="C660:G660"/>
    <mergeCell ref="C661:G661"/>
    <mergeCell ref="C644:G644"/>
    <mergeCell ref="C645:G645"/>
    <mergeCell ref="C646:G646"/>
    <mergeCell ref="C647:G647"/>
    <mergeCell ref="C648:G648"/>
    <mergeCell ref="C649:G649"/>
    <mergeCell ref="C650:G650"/>
    <mergeCell ref="C651:G651"/>
    <mergeCell ref="C652:G652"/>
    <mergeCell ref="C635:G635"/>
    <mergeCell ref="C636:G636"/>
    <mergeCell ref="C637:G637"/>
    <mergeCell ref="C638:G638"/>
    <mergeCell ref="C639:G639"/>
    <mergeCell ref="C640:G640"/>
    <mergeCell ref="C641:G641"/>
    <mergeCell ref="C642:G642"/>
    <mergeCell ref="C643:G643"/>
    <mergeCell ref="C626:G626"/>
    <mergeCell ref="C627:G627"/>
    <mergeCell ref="C628:G628"/>
    <mergeCell ref="C629:G629"/>
    <mergeCell ref="C630:G630"/>
    <mergeCell ref="C631:G631"/>
    <mergeCell ref="C632:G632"/>
    <mergeCell ref="C633:G633"/>
    <mergeCell ref="A634:P634"/>
    <mergeCell ref="C617:G617"/>
    <mergeCell ref="C618:G618"/>
    <mergeCell ref="A619:P619"/>
    <mergeCell ref="C620:G620"/>
    <mergeCell ref="C621:G621"/>
    <mergeCell ref="C622:G622"/>
    <mergeCell ref="C623:G623"/>
    <mergeCell ref="C624:G624"/>
    <mergeCell ref="C625:G625"/>
    <mergeCell ref="C608:G608"/>
    <mergeCell ref="C609:G609"/>
    <mergeCell ref="C610:G610"/>
    <mergeCell ref="C611:G611"/>
    <mergeCell ref="C612:G612"/>
    <mergeCell ref="C613:G613"/>
    <mergeCell ref="C614:G614"/>
    <mergeCell ref="C615:G615"/>
    <mergeCell ref="C616:G616"/>
    <mergeCell ref="C599:G599"/>
    <mergeCell ref="C600:G600"/>
    <mergeCell ref="C601:G601"/>
    <mergeCell ref="C602:G602"/>
    <mergeCell ref="C603:G603"/>
    <mergeCell ref="C604:G604"/>
    <mergeCell ref="C605:G605"/>
    <mergeCell ref="C606:G606"/>
    <mergeCell ref="C607:G607"/>
    <mergeCell ref="C590:G590"/>
    <mergeCell ref="C591:G591"/>
    <mergeCell ref="C592:G592"/>
    <mergeCell ref="C593:G593"/>
    <mergeCell ref="C594:G594"/>
    <mergeCell ref="C595:G595"/>
    <mergeCell ref="C596:G596"/>
    <mergeCell ref="C597:G597"/>
    <mergeCell ref="C598:G598"/>
    <mergeCell ref="C581:G581"/>
    <mergeCell ref="C582:G582"/>
    <mergeCell ref="C583:G583"/>
    <mergeCell ref="C584:G584"/>
    <mergeCell ref="C585:G585"/>
    <mergeCell ref="C586:G586"/>
    <mergeCell ref="C587:G587"/>
    <mergeCell ref="C588:G588"/>
    <mergeCell ref="C589:G589"/>
    <mergeCell ref="C572:G572"/>
    <mergeCell ref="C573:G573"/>
    <mergeCell ref="C574:G574"/>
    <mergeCell ref="C575:G575"/>
    <mergeCell ref="C576:G576"/>
    <mergeCell ref="C577:G577"/>
    <mergeCell ref="C578:G578"/>
    <mergeCell ref="C579:G579"/>
    <mergeCell ref="C580:G580"/>
    <mergeCell ref="C563:G563"/>
    <mergeCell ref="A564:P564"/>
    <mergeCell ref="C565:G565"/>
    <mergeCell ref="C566:G566"/>
    <mergeCell ref="C567:G567"/>
    <mergeCell ref="C568:G568"/>
    <mergeCell ref="C569:G569"/>
    <mergeCell ref="C570:G570"/>
    <mergeCell ref="C571:G571"/>
    <mergeCell ref="C554:G554"/>
    <mergeCell ref="C555:G555"/>
    <mergeCell ref="C556:G556"/>
    <mergeCell ref="C557:G557"/>
    <mergeCell ref="C558:G558"/>
    <mergeCell ref="C559:G559"/>
    <mergeCell ref="C560:G560"/>
    <mergeCell ref="C561:G561"/>
    <mergeCell ref="C562:G562"/>
    <mergeCell ref="C545:G545"/>
    <mergeCell ref="C546:G546"/>
    <mergeCell ref="C547:G547"/>
    <mergeCell ref="C548:G548"/>
    <mergeCell ref="C549:G549"/>
    <mergeCell ref="C550:G550"/>
    <mergeCell ref="C551:G551"/>
    <mergeCell ref="C552:G552"/>
    <mergeCell ref="C553:G553"/>
    <mergeCell ref="C536:G536"/>
    <mergeCell ref="C537:G537"/>
    <mergeCell ref="C538:G538"/>
    <mergeCell ref="C539:G539"/>
    <mergeCell ref="C540:G540"/>
    <mergeCell ref="C541:G541"/>
    <mergeCell ref="C542:G542"/>
    <mergeCell ref="C543:G543"/>
    <mergeCell ref="C544:G544"/>
    <mergeCell ref="A534:P534"/>
    <mergeCell ref="A535:P535"/>
    <mergeCell ref="A533:O533"/>
    <mergeCell ref="C526:G526"/>
    <mergeCell ref="C527:G527"/>
    <mergeCell ref="C528:G528"/>
    <mergeCell ref="C529:G529"/>
    <mergeCell ref="C530:G530"/>
    <mergeCell ref="C531:G531"/>
    <mergeCell ref="C532:G532"/>
    <mergeCell ref="C516:G516"/>
    <mergeCell ref="C517:G517"/>
    <mergeCell ref="C518:G518"/>
    <mergeCell ref="C519:G519"/>
    <mergeCell ref="C520:G520"/>
    <mergeCell ref="C521:G521"/>
    <mergeCell ref="C522:G522"/>
    <mergeCell ref="C523:G523"/>
    <mergeCell ref="C524:G524"/>
    <mergeCell ref="C507:G507"/>
    <mergeCell ref="C508:G508"/>
    <mergeCell ref="C509:G509"/>
    <mergeCell ref="C510:G510"/>
    <mergeCell ref="C511:G511"/>
    <mergeCell ref="C512:G512"/>
    <mergeCell ref="C513:G513"/>
    <mergeCell ref="C514:G514"/>
    <mergeCell ref="C515:G515"/>
    <mergeCell ref="C498:G498"/>
    <mergeCell ref="C499:G499"/>
    <mergeCell ref="C500:G500"/>
    <mergeCell ref="C501:G501"/>
    <mergeCell ref="C502:G502"/>
    <mergeCell ref="C503:G503"/>
    <mergeCell ref="C504:G504"/>
    <mergeCell ref="C505:G505"/>
    <mergeCell ref="C506:G506"/>
    <mergeCell ref="C489:G489"/>
    <mergeCell ref="C490:G490"/>
    <mergeCell ref="C491:G491"/>
    <mergeCell ref="C492:G492"/>
    <mergeCell ref="C493:G493"/>
    <mergeCell ref="C494:G494"/>
    <mergeCell ref="C495:G495"/>
    <mergeCell ref="C496:G496"/>
    <mergeCell ref="C497:G497"/>
    <mergeCell ref="C480:G480"/>
    <mergeCell ref="C481:G481"/>
    <mergeCell ref="C482:G482"/>
    <mergeCell ref="C483:G483"/>
    <mergeCell ref="C484:G484"/>
    <mergeCell ref="C485:G485"/>
    <mergeCell ref="C486:G486"/>
    <mergeCell ref="C487:G487"/>
    <mergeCell ref="C488:G488"/>
    <mergeCell ref="C471:G471"/>
    <mergeCell ref="C472:G472"/>
    <mergeCell ref="C473:G473"/>
    <mergeCell ref="C474:G474"/>
    <mergeCell ref="C475:G475"/>
    <mergeCell ref="C476:G476"/>
    <mergeCell ref="C477:G477"/>
    <mergeCell ref="C478:G478"/>
    <mergeCell ref="C479:G479"/>
    <mergeCell ref="C462:G462"/>
    <mergeCell ref="C463:G463"/>
    <mergeCell ref="C464:G464"/>
    <mergeCell ref="C465:G465"/>
    <mergeCell ref="C466:G466"/>
    <mergeCell ref="C467:G467"/>
    <mergeCell ref="C468:G468"/>
    <mergeCell ref="C469:G469"/>
    <mergeCell ref="C470:G470"/>
    <mergeCell ref="C453:G453"/>
    <mergeCell ref="C454:G454"/>
    <mergeCell ref="C455:G455"/>
    <mergeCell ref="C456:G456"/>
    <mergeCell ref="C457:G457"/>
    <mergeCell ref="C458:G458"/>
    <mergeCell ref="C459:G459"/>
    <mergeCell ref="C460:G460"/>
    <mergeCell ref="C461:G461"/>
    <mergeCell ref="C444:G444"/>
    <mergeCell ref="C445:G445"/>
    <mergeCell ref="C446:G446"/>
    <mergeCell ref="C447:G447"/>
    <mergeCell ref="C448:G448"/>
    <mergeCell ref="C449:G449"/>
    <mergeCell ref="C450:G450"/>
    <mergeCell ref="C451:G451"/>
    <mergeCell ref="C452:G452"/>
    <mergeCell ref="C435:G435"/>
    <mergeCell ref="C436:G436"/>
    <mergeCell ref="C437:G437"/>
    <mergeCell ref="C438:G438"/>
    <mergeCell ref="C439:G439"/>
    <mergeCell ref="C440:G440"/>
    <mergeCell ref="C441:G441"/>
    <mergeCell ref="A442:P442"/>
    <mergeCell ref="C443:G443"/>
    <mergeCell ref="C426:G426"/>
    <mergeCell ref="C427:G427"/>
    <mergeCell ref="C428:G428"/>
    <mergeCell ref="C429:G429"/>
    <mergeCell ref="C430:G430"/>
    <mergeCell ref="C431:G431"/>
    <mergeCell ref="C432:G432"/>
    <mergeCell ref="C433:G433"/>
    <mergeCell ref="C434:G434"/>
    <mergeCell ref="C417:G417"/>
    <mergeCell ref="C418:G418"/>
    <mergeCell ref="C419:G419"/>
    <mergeCell ref="C420:G420"/>
    <mergeCell ref="C421:G421"/>
    <mergeCell ref="C422:G422"/>
    <mergeCell ref="C423:G423"/>
    <mergeCell ref="C424:G424"/>
    <mergeCell ref="C425:G425"/>
    <mergeCell ref="C408:G408"/>
    <mergeCell ref="C409:G409"/>
    <mergeCell ref="C410:G410"/>
    <mergeCell ref="C411:G411"/>
    <mergeCell ref="C412:G412"/>
    <mergeCell ref="C413:G413"/>
    <mergeCell ref="C414:G414"/>
    <mergeCell ref="C415:G415"/>
    <mergeCell ref="C416:G416"/>
    <mergeCell ref="C399:G399"/>
    <mergeCell ref="C400:G400"/>
    <mergeCell ref="C401:G401"/>
    <mergeCell ref="C402:G402"/>
    <mergeCell ref="C403:G403"/>
    <mergeCell ref="C404:G404"/>
    <mergeCell ref="C405:G405"/>
    <mergeCell ref="C406:G406"/>
    <mergeCell ref="C407:G407"/>
    <mergeCell ref="C390:G390"/>
    <mergeCell ref="A391:P391"/>
    <mergeCell ref="C392:G392"/>
    <mergeCell ref="C393:G393"/>
    <mergeCell ref="C394:G394"/>
    <mergeCell ref="C395:G395"/>
    <mergeCell ref="C396:G396"/>
    <mergeCell ref="C397:G397"/>
    <mergeCell ref="C398:G398"/>
    <mergeCell ref="C381:G381"/>
    <mergeCell ref="C382:G382"/>
    <mergeCell ref="C383:G383"/>
    <mergeCell ref="C384:G384"/>
    <mergeCell ref="C385:G385"/>
    <mergeCell ref="C386:G386"/>
    <mergeCell ref="C387:G387"/>
    <mergeCell ref="C388:G388"/>
    <mergeCell ref="C389:G389"/>
    <mergeCell ref="C372:G372"/>
    <mergeCell ref="C373:G373"/>
    <mergeCell ref="C374:G374"/>
    <mergeCell ref="C375:G375"/>
    <mergeCell ref="A376:P376"/>
    <mergeCell ref="C377:G377"/>
    <mergeCell ref="C378:G378"/>
    <mergeCell ref="C379:G379"/>
    <mergeCell ref="C380:G380"/>
    <mergeCell ref="C363:G363"/>
    <mergeCell ref="C364:G364"/>
    <mergeCell ref="C365:G365"/>
    <mergeCell ref="C366:G366"/>
    <mergeCell ref="C367:G367"/>
    <mergeCell ref="C368:G368"/>
    <mergeCell ref="C369:G369"/>
    <mergeCell ref="C370:G370"/>
    <mergeCell ref="C371:G371"/>
    <mergeCell ref="C354:G354"/>
    <mergeCell ref="C355:G355"/>
    <mergeCell ref="C356:G356"/>
    <mergeCell ref="C357:G357"/>
    <mergeCell ref="C358:G358"/>
    <mergeCell ref="C359:G359"/>
    <mergeCell ref="C360:G360"/>
    <mergeCell ref="C361:G361"/>
    <mergeCell ref="C362:G362"/>
    <mergeCell ref="C345:G345"/>
    <mergeCell ref="C346:G346"/>
    <mergeCell ref="C347:G347"/>
    <mergeCell ref="C348:G348"/>
    <mergeCell ref="C349:G349"/>
    <mergeCell ref="C350:G350"/>
    <mergeCell ref="C351:G351"/>
    <mergeCell ref="C352:G352"/>
    <mergeCell ref="C353:G353"/>
    <mergeCell ref="C336:G336"/>
    <mergeCell ref="C337:G337"/>
    <mergeCell ref="C338:G338"/>
    <mergeCell ref="C339:G339"/>
    <mergeCell ref="C340:G340"/>
    <mergeCell ref="C341:G341"/>
    <mergeCell ref="C342:G342"/>
    <mergeCell ref="C343:G343"/>
    <mergeCell ref="C344:G344"/>
    <mergeCell ref="C327:G327"/>
    <mergeCell ref="C328:G328"/>
    <mergeCell ref="C329:G329"/>
    <mergeCell ref="C330:G330"/>
    <mergeCell ref="C331:G331"/>
    <mergeCell ref="C332:G332"/>
    <mergeCell ref="C333:G333"/>
    <mergeCell ref="C334:G334"/>
    <mergeCell ref="C335:G335"/>
    <mergeCell ref="C318:G318"/>
    <mergeCell ref="C319:G319"/>
    <mergeCell ref="C320:G320"/>
    <mergeCell ref="A321:P321"/>
    <mergeCell ref="C322:G322"/>
    <mergeCell ref="C323:G323"/>
    <mergeCell ref="C324:G324"/>
    <mergeCell ref="C325:G325"/>
    <mergeCell ref="C326:G326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A291:P291"/>
    <mergeCell ref="A292:P292"/>
    <mergeCell ref="C293:G293"/>
    <mergeCell ref="C294:G294"/>
    <mergeCell ref="C295:G295"/>
    <mergeCell ref="C296:G296"/>
    <mergeCell ref="C297:G297"/>
    <mergeCell ref="C298:G298"/>
    <mergeCell ref="C299:G299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3:P23"/>
    <mergeCell ref="A24:P24"/>
    <mergeCell ref="A26:P26"/>
    <mergeCell ref="A27:P27"/>
    <mergeCell ref="B29:F29"/>
    <mergeCell ref="A44:P44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C45:G45"/>
    <mergeCell ref="C46:G46"/>
    <mergeCell ref="C47:G47"/>
    <mergeCell ref="C48:G48"/>
    <mergeCell ref="H39:H41"/>
    <mergeCell ref="I39:K40"/>
    <mergeCell ref="L39:P40"/>
    <mergeCell ref="C42:G42"/>
    <mergeCell ref="A43:P43"/>
    <mergeCell ref="A39:A41"/>
    <mergeCell ref="B39:B41"/>
    <mergeCell ref="C39:G41"/>
    <mergeCell ref="C54:G54"/>
    <mergeCell ref="C55:G55"/>
    <mergeCell ref="C56:G56"/>
    <mergeCell ref="C57:G57"/>
    <mergeCell ref="C58:G58"/>
    <mergeCell ref="C49:G49"/>
    <mergeCell ref="C50:G50"/>
    <mergeCell ref="C51:G51"/>
    <mergeCell ref="C52:G52"/>
    <mergeCell ref="C53:G53"/>
    <mergeCell ref="C64:G64"/>
    <mergeCell ref="C65:G65"/>
    <mergeCell ref="C66:G66"/>
    <mergeCell ref="C67:G67"/>
    <mergeCell ref="C68:G68"/>
    <mergeCell ref="C59:G59"/>
    <mergeCell ref="C60:G60"/>
    <mergeCell ref="C61:G61"/>
    <mergeCell ref="C62:G62"/>
    <mergeCell ref="C63:G63"/>
    <mergeCell ref="C74:G74"/>
    <mergeCell ref="C75:G75"/>
    <mergeCell ref="C76:G76"/>
    <mergeCell ref="C77:G77"/>
    <mergeCell ref="C78:G78"/>
    <mergeCell ref="C69:G69"/>
    <mergeCell ref="C70:G70"/>
    <mergeCell ref="C71:G71"/>
    <mergeCell ref="C72:G72"/>
    <mergeCell ref="A73:P73"/>
    <mergeCell ref="C84:G84"/>
    <mergeCell ref="C85:G85"/>
    <mergeCell ref="C86:G86"/>
    <mergeCell ref="C87:G87"/>
    <mergeCell ref="C88:G88"/>
    <mergeCell ref="C79:G79"/>
    <mergeCell ref="C80:G80"/>
    <mergeCell ref="C81:G81"/>
    <mergeCell ref="C82:G82"/>
    <mergeCell ref="C83:G83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  <mergeCell ref="C104:G104"/>
    <mergeCell ref="C105:G105"/>
    <mergeCell ref="C106:G106"/>
    <mergeCell ref="C107:G107"/>
    <mergeCell ref="C108:G108"/>
    <mergeCell ref="C99:G99"/>
    <mergeCell ref="C100:G100"/>
    <mergeCell ref="C101:G101"/>
    <mergeCell ref="C102:G102"/>
    <mergeCell ref="C103:G103"/>
    <mergeCell ref="C114:G114"/>
    <mergeCell ref="C115:G115"/>
    <mergeCell ref="C116:G116"/>
    <mergeCell ref="C117:G117"/>
    <mergeCell ref="C118:G118"/>
    <mergeCell ref="C109:G109"/>
    <mergeCell ref="C110:G110"/>
    <mergeCell ref="C111:G111"/>
    <mergeCell ref="C112:G112"/>
    <mergeCell ref="C113:G113"/>
    <mergeCell ref="C124:G124"/>
    <mergeCell ref="C125:G125"/>
    <mergeCell ref="C126:G126"/>
    <mergeCell ref="C127:G127"/>
    <mergeCell ref="A128:P128"/>
    <mergeCell ref="C119:G119"/>
    <mergeCell ref="C120:G120"/>
    <mergeCell ref="C121:G121"/>
    <mergeCell ref="C122:G122"/>
    <mergeCell ref="C123:G123"/>
    <mergeCell ref="C134:G134"/>
    <mergeCell ref="C135:G135"/>
    <mergeCell ref="C136:G136"/>
    <mergeCell ref="C137:G137"/>
    <mergeCell ref="C138:G138"/>
    <mergeCell ref="C129:G129"/>
    <mergeCell ref="C130:G130"/>
    <mergeCell ref="C131:G131"/>
    <mergeCell ref="C132:G132"/>
    <mergeCell ref="C133:G13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A143:P143"/>
    <mergeCell ref="C154:G154"/>
    <mergeCell ref="C155:G155"/>
    <mergeCell ref="C156:G156"/>
    <mergeCell ref="C157:G157"/>
    <mergeCell ref="C158:G158"/>
    <mergeCell ref="C149:G149"/>
    <mergeCell ref="C150:G150"/>
    <mergeCell ref="C151:G151"/>
    <mergeCell ref="C152:G152"/>
    <mergeCell ref="C153:G153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C174:G174"/>
    <mergeCell ref="C175:G175"/>
    <mergeCell ref="C176:G176"/>
    <mergeCell ref="C177:G177"/>
    <mergeCell ref="C178:G178"/>
    <mergeCell ref="C169:G169"/>
    <mergeCell ref="C170:G170"/>
    <mergeCell ref="C171:G171"/>
    <mergeCell ref="C172:G172"/>
    <mergeCell ref="C173:G173"/>
    <mergeCell ref="C184:G184"/>
    <mergeCell ref="C185:G185"/>
    <mergeCell ref="C186:G186"/>
    <mergeCell ref="C187:G187"/>
    <mergeCell ref="C188:G188"/>
    <mergeCell ref="C179:G179"/>
    <mergeCell ref="C180:G180"/>
    <mergeCell ref="C181:G181"/>
    <mergeCell ref="C182:G182"/>
    <mergeCell ref="C183:G183"/>
    <mergeCell ref="A194:P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204:G204"/>
    <mergeCell ref="C205:G205"/>
    <mergeCell ref="C206:G206"/>
    <mergeCell ref="C207:G207"/>
    <mergeCell ref="C208:G208"/>
    <mergeCell ref="C199:G199"/>
    <mergeCell ref="C200:G200"/>
    <mergeCell ref="C201:G201"/>
    <mergeCell ref="C202:G202"/>
    <mergeCell ref="C203:G203"/>
    <mergeCell ref="C214:G214"/>
    <mergeCell ref="C215:G215"/>
    <mergeCell ref="C216:G216"/>
    <mergeCell ref="C217:G217"/>
    <mergeCell ref="C218:G218"/>
    <mergeCell ref="C209:G209"/>
    <mergeCell ref="C210:G210"/>
    <mergeCell ref="C211:G211"/>
    <mergeCell ref="C212:G212"/>
    <mergeCell ref="C213:G213"/>
    <mergeCell ref="C224:G224"/>
    <mergeCell ref="C225:G225"/>
    <mergeCell ref="C226:G226"/>
    <mergeCell ref="C227:G227"/>
    <mergeCell ref="C228:G228"/>
    <mergeCell ref="C219:G219"/>
    <mergeCell ref="C220:G220"/>
    <mergeCell ref="C221:G221"/>
    <mergeCell ref="C222:G222"/>
    <mergeCell ref="C223:G223"/>
    <mergeCell ref="C234:G234"/>
    <mergeCell ref="C235:G235"/>
    <mergeCell ref="C236:G236"/>
    <mergeCell ref="C237:G237"/>
    <mergeCell ref="C238:G238"/>
    <mergeCell ref="C229:G229"/>
    <mergeCell ref="C230:G230"/>
    <mergeCell ref="C231:G231"/>
    <mergeCell ref="C232:G232"/>
    <mergeCell ref="C233:G233"/>
    <mergeCell ref="C244:G244"/>
    <mergeCell ref="C245:G245"/>
    <mergeCell ref="C246:G246"/>
    <mergeCell ref="C247:G247"/>
    <mergeCell ref="C248:G248"/>
    <mergeCell ref="C239:G239"/>
    <mergeCell ref="C240:G240"/>
    <mergeCell ref="C241:G241"/>
    <mergeCell ref="C242:G242"/>
    <mergeCell ref="C243:G243"/>
    <mergeCell ref="C254:G254"/>
    <mergeCell ref="C255:G255"/>
    <mergeCell ref="C256:G256"/>
    <mergeCell ref="C257:G257"/>
    <mergeCell ref="C258:G258"/>
    <mergeCell ref="C249:G249"/>
    <mergeCell ref="C250:G250"/>
    <mergeCell ref="C251:G251"/>
    <mergeCell ref="C252:G252"/>
    <mergeCell ref="C253:G253"/>
    <mergeCell ref="C264:G264"/>
    <mergeCell ref="C265:G265"/>
    <mergeCell ref="C266:G266"/>
    <mergeCell ref="C267:G267"/>
    <mergeCell ref="C268:G268"/>
    <mergeCell ref="C259:G259"/>
    <mergeCell ref="C260:G260"/>
    <mergeCell ref="C261:G261"/>
    <mergeCell ref="C262:G262"/>
    <mergeCell ref="C263:G263"/>
    <mergeCell ref="C272:G272"/>
    <mergeCell ref="C273:G273"/>
    <mergeCell ref="C274:G274"/>
    <mergeCell ref="C284:O284"/>
    <mergeCell ref="C269:G269"/>
    <mergeCell ref="C270:G270"/>
    <mergeCell ref="C271:G271"/>
    <mergeCell ref="C276:G276"/>
    <mergeCell ref="C277:G277"/>
    <mergeCell ref="C278:G278"/>
    <mergeCell ref="C279:G279"/>
    <mergeCell ref="C280:G280"/>
    <mergeCell ref="C281:G281"/>
    <mergeCell ref="C282:G282"/>
    <mergeCell ref="A283:O283"/>
    <mergeCell ref="C285:O285"/>
    <mergeCell ref="C286:O286"/>
    <mergeCell ref="C287:O287"/>
    <mergeCell ref="C288:O288"/>
    <mergeCell ref="C289:O289"/>
    <mergeCell ref="A290:O290"/>
  </mergeCells>
  <printOptions horizontalCentered="1"/>
  <pageMargins left="0.31496062992125984" right="0.31496062992125984" top="0.39370078740157483" bottom="0.31496062992125984" header="0.19685039370078741" footer="0.19685039370078741"/>
  <pageSetup paperSize="9" scale="7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Санузел 3 этаж (муж) - ЛСР по М</vt:lpstr>
      <vt:lpstr>'Санузел 3 этаж (муж) - ЛСР по М'!Заголовки_для_печати</vt:lpstr>
      <vt:lpstr>'Санузел 3 этаж (муж) - ЛСР по 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WORK</cp:lastModifiedBy>
  <cp:lastPrinted>2025-06-03T08:46:57Z</cp:lastPrinted>
  <dcterms:created xsi:type="dcterms:W3CDTF">2020-09-30T08:50:27Z</dcterms:created>
  <dcterms:modified xsi:type="dcterms:W3CDTF">2025-08-27T14:07:54Z</dcterms:modified>
</cp:coreProperties>
</file>